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ysver-my.sharepoint.com/personal/bjorn_bruaset_tysver_kommune_no/Documents/Utbygging/Utbyggingsavtale Skogkanten/"/>
    </mc:Choice>
  </mc:AlternateContent>
  <bookViews>
    <workbookView xWindow="0" yWindow="0" windowWidth="28800" windowHeight="14250" activeTab="2"/>
  </bookViews>
  <sheets>
    <sheet name="ver1_2018" sheetId="1" r:id="rId1"/>
    <sheet name="ver2_2019" sheetId="2" r:id="rId2"/>
    <sheet name="Avrund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L5" i="2" l="1"/>
  <c r="AK5" i="2"/>
  <c r="AJ5" i="2"/>
  <c r="AI5" i="2"/>
  <c r="J5" i="2"/>
  <c r="J5" i="4"/>
  <c r="AU5" i="4" l="1"/>
  <c r="F7" i="4" l="1"/>
  <c r="G7" i="4"/>
  <c r="H7" i="4"/>
  <c r="I7" i="4"/>
  <c r="K7" i="4"/>
  <c r="L7" i="4"/>
  <c r="N7" i="4"/>
  <c r="O7" i="4"/>
  <c r="Q7" i="4"/>
  <c r="R7" i="4"/>
  <c r="S7" i="4"/>
  <c r="T7" i="4"/>
  <c r="U7" i="4"/>
  <c r="V7" i="4"/>
  <c r="Y7" i="4"/>
  <c r="Z7" i="4"/>
  <c r="AA7" i="4"/>
  <c r="AB7" i="4"/>
  <c r="AD7" i="4"/>
  <c r="AE7" i="4"/>
  <c r="AF7" i="4"/>
  <c r="AG7" i="4"/>
  <c r="AM7" i="4"/>
  <c r="AO7" i="4"/>
  <c r="AP7" i="4"/>
  <c r="AQ7" i="4"/>
  <c r="AR7" i="4"/>
  <c r="AS7" i="4"/>
  <c r="F8" i="4"/>
  <c r="G8" i="4"/>
  <c r="H8" i="4"/>
  <c r="J8" i="4"/>
  <c r="M8" i="4"/>
  <c r="N8" i="4"/>
  <c r="O8" i="4"/>
  <c r="P8" i="4"/>
  <c r="Q8" i="4"/>
  <c r="R8" i="4"/>
  <c r="S8" i="4"/>
  <c r="T8" i="4"/>
  <c r="U8" i="4"/>
  <c r="V8" i="4"/>
  <c r="W8" i="4"/>
  <c r="X8" i="4"/>
  <c r="AA8" i="4"/>
  <c r="AB8" i="4"/>
  <c r="AC8" i="4"/>
  <c r="AD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T8" i="4"/>
  <c r="F9" i="4"/>
  <c r="G9" i="4"/>
  <c r="H9" i="4"/>
  <c r="J9" i="4"/>
  <c r="K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G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G10" i="4"/>
  <c r="AH10" i="4"/>
  <c r="AI10" i="4"/>
  <c r="AJ10" i="4"/>
  <c r="AK10" i="4"/>
  <c r="AL10" i="4"/>
  <c r="AM10" i="4"/>
  <c r="AN10" i="4"/>
  <c r="AP10" i="4"/>
  <c r="AQ10" i="4"/>
  <c r="AS10" i="4"/>
  <c r="AT10" i="4"/>
  <c r="F11" i="4"/>
  <c r="G11" i="4"/>
  <c r="H11" i="4"/>
  <c r="J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F12" i="4"/>
  <c r="G12" i="4"/>
  <c r="H12" i="4"/>
  <c r="I12" i="4"/>
  <c r="L12" i="4"/>
  <c r="N12" i="4"/>
  <c r="O12" i="4"/>
  <c r="P12" i="4"/>
  <c r="Q12" i="4"/>
  <c r="R12" i="4"/>
  <c r="S12" i="4"/>
  <c r="T12" i="4"/>
  <c r="U12" i="4"/>
  <c r="V12" i="4"/>
  <c r="X12" i="4"/>
  <c r="Y12" i="4"/>
  <c r="Z12" i="4"/>
  <c r="AB12" i="4"/>
  <c r="AC12" i="4"/>
  <c r="AD12" i="4"/>
  <c r="AE12" i="4"/>
  <c r="AF12" i="4"/>
  <c r="AG12" i="4"/>
  <c r="AH12" i="4"/>
  <c r="AM12" i="4"/>
  <c r="AN12" i="4"/>
  <c r="AO12" i="4"/>
  <c r="AP12" i="4"/>
  <c r="AQ12" i="4"/>
  <c r="AR12" i="4"/>
  <c r="AS12" i="4"/>
  <c r="AT12" i="4"/>
  <c r="F13" i="4"/>
  <c r="G13" i="4"/>
  <c r="H13" i="4"/>
  <c r="I13" i="4"/>
  <c r="J13" i="4"/>
  <c r="L13" i="4"/>
  <c r="M13" i="4"/>
  <c r="N13" i="4"/>
  <c r="O13" i="4"/>
  <c r="P13" i="4"/>
  <c r="Q13" i="4"/>
  <c r="R13" i="4"/>
  <c r="S13" i="4"/>
  <c r="T13" i="4"/>
  <c r="U13" i="4"/>
  <c r="W13" i="4"/>
  <c r="X13" i="4"/>
  <c r="Y13" i="4"/>
  <c r="Z13" i="4"/>
  <c r="AA13" i="4"/>
  <c r="AC13" i="4"/>
  <c r="AD13" i="4"/>
  <c r="AE13" i="4"/>
  <c r="AF13" i="4"/>
  <c r="AH13" i="4"/>
  <c r="AK13" i="4"/>
  <c r="AL13" i="4"/>
  <c r="AM13" i="4"/>
  <c r="AN13" i="4"/>
  <c r="AO13" i="4"/>
  <c r="AQ13" i="4"/>
  <c r="AR13" i="4"/>
  <c r="AS13" i="4"/>
  <c r="AT13" i="4"/>
  <c r="F14" i="4"/>
  <c r="G14" i="4"/>
  <c r="H14" i="4"/>
  <c r="I14" i="4"/>
  <c r="J14" i="4"/>
  <c r="L14" i="4"/>
  <c r="M14" i="4"/>
  <c r="N14" i="4"/>
  <c r="O14" i="4"/>
  <c r="P14" i="4"/>
  <c r="Q14" i="4"/>
  <c r="R14" i="4"/>
  <c r="S14" i="4"/>
  <c r="T14" i="4"/>
  <c r="U14" i="4"/>
  <c r="W14" i="4"/>
  <c r="X14" i="4"/>
  <c r="Y14" i="4"/>
  <c r="Z14" i="4"/>
  <c r="AA14" i="4"/>
  <c r="AC14" i="4"/>
  <c r="AD14" i="4"/>
  <c r="AE14" i="4"/>
  <c r="AF14" i="4"/>
  <c r="AG14" i="4"/>
  <c r="AH14" i="4"/>
  <c r="AK14" i="4"/>
  <c r="AL14" i="4"/>
  <c r="AM14" i="4"/>
  <c r="AN14" i="4"/>
  <c r="AO14" i="4"/>
  <c r="AQ14" i="4"/>
  <c r="AR14" i="4"/>
  <c r="AS14" i="4"/>
  <c r="AT14" i="4"/>
  <c r="F15" i="4"/>
  <c r="G15" i="4"/>
  <c r="H15" i="4"/>
  <c r="I15" i="4"/>
  <c r="L15" i="4"/>
  <c r="N15" i="4"/>
  <c r="O15" i="4"/>
  <c r="P15" i="4"/>
  <c r="Q15" i="4"/>
  <c r="R15" i="4"/>
  <c r="S15" i="4"/>
  <c r="T15" i="4"/>
  <c r="U15" i="4"/>
  <c r="V15" i="4"/>
  <c r="X15" i="4"/>
  <c r="Y15" i="4"/>
  <c r="Z15" i="4"/>
  <c r="AB15" i="4"/>
  <c r="AC15" i="4"/>
  <c r="AD15" i="4"/>
  <c r="AE15" i="4"/>
  <c r="AF15" i="4"/>
  <c r="AG15" i="4"/>
  <c r="AH15" i="4"/>
  <c r="AM15" i="4"/>
  <c r="AN15" i="4"/>
  <c r="AO15" i="4"/>
  <c r="AP15" i="4"/>
  <c r="AQ15" i="4"/>
  <c r="AR15" i="4"/>
  <c r="AS15" i="4"/>
  <c r="AT15" i="4"/>
  <c r="F16" i="4"/>
  <c r="G16" i="4"/>
  <c r="H16" i="4"/>
  <c r="I16" i="4"/>
  <c r="L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E16" i="4"/>
  <c r="AF16" i="4"/>
  <c r="AG16" i="4"/>
  <c r="AH16" i="4"/>
  <c r="AM16" i="4"/>
  <c r="AN16" i="4"/>
  <c r="AO16" i="4"/>
  <c r="AP16" i="4"/>
  <c r="AQ16" i="4"/>
  <c r="AR16" i="4"/>
  <c r="AS16" i="4"/>
  <c r="AT16" i="4"/>
  <c r="F17" i="4"/>
  <c r="H17" i="4"/>
  <c r="J17" i="4"/>
  <c r="M17" i="4"/>
  <c r="N17" i="4"/>
  <c r="O17" i="4"/>
  <c r="S17" i="4"/>
  <c r="T17" i="4"/>
  <c r="U17" i="4"/>
  <c r="V17" i="4"/>
  <c r="W17" i="4"/>
  <c r="X17" i="4"/>
  <c r="AA17" i="4"/>
  <c r="AB17" i="4"/>
  <c r="AC17" i="4"/>
  <c r="AD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F18" i="4"/>
  <c r="G18" i="4"/>
  <c r="H18" i="4"/>
  <c r="I18" i="4"/>
  <c r="J18" i="4"/>
  <c r="L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C18" i="4"/>
  <c r="AD18" i="4"/>
  <c r="AE18" i="4"/>
  <c r="AF18" i="4"/>
  <c r="AG18" i="4"/>
  <c r="AH18" i="4"/>
  <c r="AK18" i="4"/>
  <c r="AL18" i="4"/>
  <c r="AM18" i="4"/>
  <c r="AN18" i="4"/>
  <c r="AO18" i="4"/>
  <c r="AQ18" i="4"/>
  <c r="AR18" i="4"/>
  <c r="AS18" i="4"/>
  <c r="AT18" i="4"/>
  <c r="F19" i="4"/>
  <c r="G19" i="4"/>
  <c r="H19" i="4"/>
  <c r="I19" i="4"/>
  <c r="J19" i="4"/>
  <c r="K19" i="4"/>
  <c r="L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D19" i="4"/>
  <c r="AE19" i="4"/>
  <c r="AF19" i="4"/>
  <c r="AG19" i="4"/>
  <c r="AH19" i="4"/>
  <c r="AI19" i="4"/>
  <c r="AL19" i="4"/>
  <c r="AM19" i="4"/>
  <c r="AN19" i="4"/>
  <c r="AO19" i="4"/>
  <c r="AQ19" i="4"/>
  <c r="AR19" i="4"/>
  <c r="AS19" i="4"/>
  <c r="AT19" i="4"/>
  <c r="F20" i="4"/>
  <c r="G20" i="4"/>
  <c r="H20" i="4"/>
  <c r="I20" i="4"/>
  <c r="J20" i="4"/>
  <c r="K20" i="4"/>
  <c r="L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E20" i="4"/>
  <c r="AF20" i="4"/>
  <c r="AG20" i="4"/>
  <c r="AH20" i="4"/>
  <c r="AK20" i="4"/>
  <c r="AL20" i="4"/>
  <c r="AM20" i="4"/>
  <c r="AN20" i="4"/>
  <c r="AO20" i="4"/>
  <c r="AQ20" i="4"/>
  <c r="AR20" i="4"/>
  <c r="AS20" i="4"/>
  <c r="AT20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G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P22" i="4"/>
  <c r="AR22" i="4"/>
  <c r="AT22" i="4"/>
  <c r="F23" i="4"/>
  <c r="G23" i="4"/>
  <c r="H23" i="4"/>
  <c r="I23" i="4"/>
  <c r="J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N24" i="4"/>
  <c r="AO24" i="4"/>
  <c r="AP24" i="4"/>
  <c r="AQ24" i="4"/>
  <c r="AR24" i="4"/>
  <c r="AS24" i="4"/>
  <c r="AT24" i="4"/>
  <c r="F25" i="4"/>
  <c r="G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F26" i="4"/>
  <c r="G26" i="4"/>
  <c r="H26" i="4"/>
  <c r="I26" i="4"/>
  <c r="J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F27" i="4"/>
  <c r="G27" i="4"/>
  <c r="H27" i="4"/>
  <c r="J27" i="4"/>
  <c r="L27" i="4"/>
  <c r="M27" i="4"/>
  <c r="N27" i="4"/>
  <c r="O27" i="4"/>
  <c r="P27" i="4"/>
  <c r="Q27" i="4"/>
  <c r="R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F28" i="4"/>
  <c r="H28" i="4"/>
  <c r="I28" i="4"/>
  <c r="J28" i="4"/>
  <c r="M28" i="4"/>
  <c r="N28" i="4"/>
  <c r="O28" i="4"/>
  <c r="Q28" i="4"/>
  <c r="R28" i="4"/>
  <c r="S28" i="4"/>
  <c r="T28" i="4"/>
  <c r="U28" i="4"/>
  <c r="V28" i="4"/>
  <c r="W28" i="4"/>
  <c r="X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E24" i="4"/>
  <c r="D29" i="4"/>
  <c r="C29" i="4"/>
  <c r="AU6" i="4"/>
  <c r="AU5" i="2"/>
  <c r="AU6" i="2"/>
  <c r="F22" i="2"/>
  <c r="F22" i="4" s="1"/>
  <c r="F10" i="2"/>
  <c r="F29" i="2" l="1"/>
  <c r="AS29" i="4"/>
  <c r="F10" i="4"/>
  <c r="F29" i="4" s="1"/>
  <c r="AV30" i="4"/>
  <c r="AS29" i="2" l="1"/>
  <c r="D29" i="2"/>
  <c r="C29" i="2"/>
  <c r="AE28" i="2"/>
  <c r="AE28" i="4" s="1"/>
  <c r="Z28" i="2"/>
  <c r="Z28" i="4" s="1"/>
  <c r="Y28" i="2"/>
  <c r="Y28" i="4" s="1"/>
  <c r="P28" i="2"/>
  <c r="P28" i="4" s="1"/>
  <c r="L28" i="2"/>
  <c r="L28" i="4" s="1"/>
  <c r="K28" i="2"/>
  <c r="K28" i="4" s="1"/>
  <c r="G28" i="2"/>
  <c r="G28" i="4" s="1"/>
  <c r="T27" i="2"/>
  <c r="T27" i="4" s="1"/>
  <c r="T29" i="4" s="1"/>
  <c r="S27" i="2"/>
  <c r="S27" i="4" s="1"/>
  <c r="S29" i="4" s="1"/>
  <c r="K27" i="2"/>
  <c r="K27" i="4" s="1"/>
  <c r="I27" i="2"/>
  <c r="I27" i="4" s="1"/>
  <c r="AB26" i="2"/>
  <c r="AB26" i="4" s="1"/>
  <c r="K26" i="2"/>
  <c r="K26" i="4" s="1"/>
  <c r="AG25" i="2"/>
  <c r="AG25" i="4" s="1"/>
  <c r="H25" i="2"/>
  <c r="H25" i="4" s="1"/>
  <c r="AM24" i="2"/>
  <c r="AM24" i="4" s="1"/>
  <c r="AM29" i="4" s="1"/>
  <c r="U24" i="2"/>
  <c r="U24" i="4" s="1"/>
  <c r="AB23" i="2"/>
  <c r="AB23" i="4" s="1"/>
  <c r="K23" i="2"/>
  <c r="K23" i="4" s="1"/>
  <c r="AQ22" i="2"/>
  <c r="AQ22" i="4" s="1"/>
  <c r="AQ29" i="4" s="1"/>
  <c r="AO22" i="2"/>
  <c r="AO22" i="4" s="1"/>
  <c r="H22" i="2"/>
  <c r="H22" i="4" s="1"/>
  <c r="AG21" i="2"/>
  <c r="AG21" i="4" s="1"/>
  <c r="AP20" i="2"/>
  <c r="AP20" i="4" s="1"/>
  <c r="AJ20" i="2"/>
  <c r="AJ20" i="4" s="1"/>
  <c r="AI20" i="2"/>
  <c r="AI20" i="4" s="1"/>
  <c r="AD20" i="2"/>
  <c r="AD20" i="4" s="1"/>
  <c r="O20" i="2"/>
  <c r="O20" i="4" s="1"/>
  <c r="O29" i="4" s="1"/>
  <c r="N20" i="2"/>
  <c r="N20" i="4" s="1"/>
  <c r="M20" i="2"/>
  <c r="M20" i="4" s="1"/>
  <c r="AP19" i="2"/>
  <c r="AP19" i="4" s="1"/>
  <c r="AK19" i="2"/>
  <c r="AK19" i="4" s="1"/>
  <c r="AJ19" i="2"/>
  <c r="AJ19" i="4" s="1"/>
  <c r="AC19" i="2"/>
  <c r="AC19" i="4" s="1"/>
  <c r="N19" i="2"/>
  <c r="N19" i="4" s="1"/>
  <c r="M19" i="2"/>
  <c r="M19" i="4" s="1"/>
  <c r="AP18" i="2"/>
  <c r="AP18" i="4" s="1"/>
  <c r="AJ18" i="2"/>
  <c r="AJ18" i="4" s="1"/>
  <c r="AI18" i="2"/>
  <c r="AI18" i="4" s="1"/>
  <c r="AB18" i="2"/>
  <c r="AB18" i="4" s="1"/>
  <c r="M18" i="2"/>
  <c r="M18" i="4" s="1"/>
  <c r="K18" i="2"/>
  <c r="K18" i="4" s="1"/>
  <c r="AE17" i="2"/>
  <c r="AE17" i="4" s="1"/>
  <c r="Z17" i="2"/>
  <c r="Z17" i="4" s="1"/>
  <c r="Y17" i="2"/>
  <c r="Y17" i="4" s="1"/>
  <c r="R17" i="2"/>
  <c r="R17" i="4" s="1"/>
  <c r="R29" i="4" s="1"/>
  <c r="Q17" i="2"/>
  <c r="Q17" i="4" s="1"/>
  <c r="Q29" i="4" s="1"/>
  <c r="P17" i="2"/>
  <c r="P17" i="4" s="1"/>
  <c r="L17" i="2"/>
  <c r="L17" i="4" s="1"/>
  <c r="K17" i="2"/>
  <c r="K17" i="4" s="1"/>
  <c r="I17" i="2"/>
  <c r="I17" i="4" s="1"/>
  <c r="G17" i="2"/>
  <c r="G17" i="4" s="1"/>
  <c r="AL16" i="2"/>
  <c r="AL16" i="4" s="1"/>
  <c r="AK16" i="2"/>
  <c r="AK16" i="4" s="1"/>
  <c r="AJ16" i="2"/>
  <c r="AJ16" i="4" s="1"/>
  <c r="AI16" i="2"/>
  <c r="AI16" i="4" s="1"/>
  <c r="AD16" i="2"/>
  <c r="AD16" i="4" s="1"/>
  <c r="AD29" i="4" s="1"/>
  <c r="AC16" i="2"/>
  <c r="AC16" i="4" s="1"/>
  <c r="AB16" i="2"/>
  <c r="AB16" i="4" s="1"/>
  <c r="AA16" i="2"/>
  <c r="AA16" i="4" s="1"/>
  <c r="M16" i="2"/>
  <c r="M16" i="4" s="1"/>
  <c r="K16" i="2"/>
  <c r="K16" i="4" s="1"/>
  <c r="J16" i="2"/>
  <c r="J16" i="4" s="1"/>
  <c r="AL15" i="2"/>
  <c r="AL15" i="4" s="1"/>
  <c r="AK15" i="2"/>
  <c r="AK15" i="4" s="1"/>
  <c r="AJ15" i="2"/>
  <c r="AJ15" i="4" s="1"/>
  <c r="AI15" i="2"/>
  <c r="AI15" i="4" s="1"/>
  <c r="AA15" i="2"/>
  <c r="AA15" i="4" s="1"/>
  <c r="W15" i="2"/>
  <c r="W15" i="4" s="1"/>
  <c r="M15" i="2"/>
  <c r="M15" i="4" s="1"/>
  <c r="K15" i="2"/>
  <c r="K15" i="4" s="1"/>
  <c r="J15" i="2"/>
  <c r="J15" i="4" s="1"/>
  <c r="AP14" i="2"/>
  <c r="AP14" i="4" s="1"/>
  <c r="AJ14" i="2"/>
  <c r="AJ14" i="4" s="1"/>
  <c r="AI14" i="2"/>
  <c r="AI14" i="4" s="1"/>
  <c r="AB14" i="2"/>
  <c r="AB14" i="4" s="1"/>
  <c r="V14" i="2"/>
  <c r="V14" i="4" s="1"/>
  <c r="K14" i="2"/>
  <c r="K14" i="4" s="1"/>
  <c r="AP13" i="2"/>
  <c r="AP13" i="4" s="1"/>
  <c r="AJ13" i="2"/>
  <c r="AJ13" i="4" s="1"/>
  <c r="AI13" i="2"/>
  <c r="AI13" i="4" s="1"/>
  <c r="AB13" i="2"/>
  <c r="AB13" i="4" s="1"/>
  <c r="V13" i="2"/>
  <c r="V13" i="4" s="1"/>
  <c r="K13" i="2"/>
  <c r="K13" i="4" s="1"/>
  <c r="AL12" i="2"/>
  <c r="AL12" i="4" s="1"/>
  <c r="AK12" i="2"/>
  <c r="AK12" i="4" s="1"/>
  <c r="AJ12" i="2"/>
  <c r="AJ12" i="4" s="1"/>
  <c r="AI12" i="2"/>
  <c r="AI12" i="4" s="1"/>
  <c r="AA12" i="2"/>
  <c r="AA12" i="4" s="1"/>
  <c r="W12" i="2"/>
  <c r="W12" i="4" s="1"/>
  <c r="M12" i="2"/>
  <c r="M12" i="4" s="1"/>
  <c r="K12" i="2"/>
  <c r="K12" i="4" s="1"/>
  <c r="J12" i="2"/>
  <c r="J12" i="4" s="1"/>
  <c r="AA11" i="2"/>
  <c r="AA11" i="4" s="1"/>
  <c r="L11" i="2"/>
  <c r="L11" i="4" s="1"/>
  <c r="K11" i="2"/>
  <c r="K11" i="4" s="1"/>
  <c r="I11" i="2"/>
  <c r="I11" i="4" s="1"/>
  <c r="AR10" i="2"/>
  <c r="AR10" i="4" s="1"/>
  <c r="AR29" i="4" s="1"/>
  <c r="AO10" i="2"/>
  <c r="AO10" i="4" s="1"/>
  <c r="AF10" i="2"/>
  <c r="AF10" i="4" s="1"/>
  <c r="AF29" i="4" s="1"/>
  <c r="H10" i="2"/>
  <c r="H10" i="4" s="1"/>
  <c r="AT9" i="2"/>
  <c r="AT9" i="4" s="1"/>
  <c r="AE9" i="2"/>
  <c r="AE9" i="4" s="1"/>
  <c r="L9" i="2"/>
  <c r="L9" i="4" s="1"/>
  <c r="I9" i="2"/>
  <c r="I9" i="4" s="1"/>
  <c r="AE8" i="2"/>
  <c r="AE8" i="4" s="1"/>
  <c r="Z8" i="2"/>
  <c r="Z8" i="4" s="1"/>
  <c r="Y8" i="2"/>
  <c r="Y8" i="4" s="1"/>
  <c r="L8" i="2"/>
  <c r="L8" i="4" s="1"/>
  <c r="K8" i="2"/>
  <c r="K8" i="4" s="1"/>
  <c r="I8" i="2"/>
  <c r="I8" i="4" s="1"/>
  <c r="AT7" i="2"/>
  <c r="AT7" i="4" s="1"/>
  <c r="AN7" i="2"/>
  <c r="AN7" i="4" s="1"/>
  <c r="AN29" i="4" s="1"/>
  <c r="AL7" i="2"/>
  <c r="AL7" i="4" s="1"/>
  <c r="AK7" i="2"/>
  <c r="AK7" i="4" s="1"/>
  <c r="AJ7" i="2"/>
  <c r="AJ7" i="4" s="1"/>
  <c r="AI7" i="2"/>
  <c r="AI7" i="4" s="1"/>
  <c r="AH7" i="2"/>
  <c r="AH7" i="4" s="1"/>
  <c r="AH29" i="4" s="1"/>
  <c r="AC7" i="2"/>
  <c r="AC7" i="4" s="1"/>
  <c r="AC29" i="4" s="1"/>
  <c r="X7" i="2"/>
  <c r="X7" i="4" s="1"/>
  <c r="X29" i="4" s="1"/>
  <c r="W7" i="2"/>
  <c r="W7" i="4" s="1"/>
  <c r="P7" i="2"/>
  <c r="P7" i="4" s="1"/>
  <c r="M7" i="2"/>
  <c r="M7" i="4" s="1"/>
  <c r="J7" i="2"/>
  <c r="J7" i="4" s="1"/>
  <c r="AI29" i="4" l="1"/>
  <c r="AT29" i="4"/>
  <c r="G29" i="4"/>
  <c r="AE29" i="4"/>
  <c r="AA29" i="4"/>
  <c r="P29" i="4"/>
  <c r="M29" i="4"/>
  <c r="AP29" i="4"/>
  <c r="AL29" i="4"/>
  <c r="K29" i="4"/>
  <c r="AJ29" i="4"/>
  <c r="J29" i="4"/>
  <c r="H29" i="4"/>
  <c r="AK29" i="4"/>
  <c r="U29" i="4"/>
  <c r="AU24" i="4"/>
  <c r="AV24" i="4" s="1"/>
  <c r="AO29" i="4"/>
  <c r="I29" i="4"/>
  <c r="W29" i="4"/>
  <c r="L29" i="4"/>
  <c r="Y29" i="4"/>
  <c r="E10" i="2"/>
  <c r="E10" i="4" s="1"/>
  <c r="AU10" i="4" s="1"/>
  <c r="AV10" i="4" s="1"/>
  <c r="E22" i="2"/>
  <c r="E22" i="4" s="1"/>
  <c r="AU22" i="4" s="1"/>
  <c r="AV22" i="4" s="1"/>
  <c r="E23" i="2"/>
  <c r="E23" i="4" s="1"/>
  <c r="AU23" i="4" s="1"/>
  <c r="AV23" i="4" s="1"/>
  <c r="E12" i="2"/>
  <c r="E12" i="4" s="1"/>
  <c r="AU12" i="4" s="1"/>
  <c r="AV12" i="4" s="1"/>
  <c r="E28" i="2"/>
  <c r="E28" i="4" s="1"/>
  <c r="AU28" i="4" s="1"/>
  <c r="AV28" i="4" s="1"/>
  <c r="E13" i="2"/>
  <c r="E13" i="4" s="1"/>
  <c r="AU13" i="4" s="1"/>
  <c r="AV13" i="4" s="1"/>
  <c r="E27" i="2"/>
  <c r="E27" i="4" s="1"/>
  <c r="AU27" i="4" s="1"/>
  <c r="AV27" i="4" s="1"/>
  <c r="E15" i="2"/>
  <c r="E15" i="4" s="1"/>
  <c r="AU15" i="4" s="1"/>
  <c r="AV15" i="4" s="1"/>
  <c r="E25" i="2"/>
  <c r="E25" i="4" s="1"/>
  <c r="AU25" i="4" s="1"/>
  <c r="AV25" i="4" s="1"/>
  <c r="E19" i="2"/>
  <c r="E19" i="4" s="1"/>
  <c r="AU19" i="4" s="1"/>
  <c r="AV19" i="4" s="1"/>
  <c r="E20" i="2"/>
  <c r="E20" i="4" s="1"/>
  <c r="AU20" i="4" s="1"/>
  <c r="AV20" i="4" s="1"/>
  <c r="E21" i="2"/>
  <c r="E21" i="4" s="1"/>
  <c r="E11" i="2"/>
  <c r="E11" i="4" s="1"/>
  <c r="AU11" i="4" s="1"/>
  <c r="AV11" i="4" s="1"/>
  <c r="E14" i="2"/>
  <c r="E14" i="4" s="1"/>
  <c r="AU14" i="4" s="1"/>
  <c r="AV14" i="4" s="1"/>
  <c r="E26" i="2"/>
  <c r="E26" i="4" s="1"/>
  <c r="AU26" i="4" s="1"/>
  <c r="AV26" i="4" s="1"/>
  <c r="E7" i="2"/>
  <c r="E7" i="4" s="1"/>
  <c r="E9" i="2"/>
  <c r="E9" i="4" s="1"/>
  <c r="AU9" i="4" s="1"/>
  <c r="AV9" i="4" s="1"/>
  <c r="E16" i="2"/>
  <c r="E16" i="4" s="1"/>
  <c r="AU16" i="4" s="1"/>
  <c r="AV16" i="4" s="1"/>
  <c r="E17" i="2"/>
  <c r="E17" i="4" s="1"/>
  <c r="AU17" i="4" s="1"/>
  <c r="AV17" i="4" s="1"/>
  <c r="E18" i="2"/>
  <c r="E18" i="4" s="1"/>
  <c r="AU18" i="4" s="1"/>
  <c r="AV18" i="4" s="1"/>
  <c r="E8" i="2"/>
  <c r="E8" i="4" s="1"/>
  <c r="AU8" i="4" s="1"/>
  <c r="AV8" i="4" s="1"/>
  <c r="Z29" i="4"/>
  <c r="V29" i="4"/>
  <c r="N29" i="4"/>
  <c r="AB29" i="4"/>
  <c r="AG29" i="4"/>
  <c r="AU21" i="4"/>
  <c r="AU16" i="2"/>
  <c r="AV16" i="2" s="1"/>
  <c r="AU28" i="2"/>
  <c r="AV28" i="2" s="1"/>
  <c r="AU21" i="2"/>
  <c r="AV21" i="2" s="1"/>
  <c r="AU20" i="2"/>
  <c r="AV20" i="2" s="1"/>
  <c r="AU10" i="2"/>
  <c r="AV10" i="2" s="1"/>
  <c r="AU23" i="2"/>
  <c r="AV23" i="2" s="1"/>
  <c r="AU24" i="2"/>
  <c r="R29" i="2"/>
  <c r="S29" i="2"/>
  <c r="AQ29" i="2"/>
  <c r="X29" i="2"/>
  <c r="AL29" i="2"/>
  <c r="J29" i="2"/>
  <c r="AN29" i="2"/>
  <c r="H29" i="2"/>
  <c r="U29" i="2"/>
  <c r="AF29" i="2"/>
  <c r="G29" i="2"/>
  <c r="O29" i="2"/>
  <c r="AM29" i="2"/>
  <c r="AH29" i="2"/>
  <c r="Q29" i="2"/>
  <c r="V29" i="2"/>
  <c r="Z29" i="2"/>
  <c r="AA29" i="2"/>
  <c r="AC29" i="2"/>
  <c r="AT29" i="2"/>
  <c r="AI29" i="2"/>
  <c r="AD29" i="2"/>
  <c r="AO29" i="2"/>
  <c r="AB29" i="2"/>
  <c r="AV30" i="2"/>
  <c r="AK29" i="2"/>
  <c r="I29" i="2"/>
  <c r="P29" i="2"/>
  <c r="AP29" i="2"/>
  <c r="AJ29" i="2"/>
  <c r="AG29" i="2"/>
  <c r="Y29" i="2"/>
  <c r="W29" i="2"/>
  <c r="M29" i="2"/>
  <c r="L29" i="2"/>
  <c r="K29" i="2"/>
  <c r="T29" i="2"/>
  <c r="AR29" i="2"/>
  <c r="AE29" i="2"/>
  <c r="N29" i="2"/>
  <c r="AC28" i="1"/>
  <c r="AC17" i="1"/>
  <c r="AC8" i="1"/>
  <c r="AC9" i="1"/>
  <c r="J28" i="1"/>
  <c r="J17" i="1"/>
  <c r="J11" i="1"/>
  <c r="J9" i="1"/>
  <c r="J8" i="1"/>
  <c r="G9" i="1"/>
  <c r="G27" i="1"/>
  <c r="G17" i="1"/>
  <c r="G11" i="1"/>
  <c r="G8" i="1"/>
  <c r="AT7" i="1"/>
  <c r="AT9" i="1"/>
  <c r="C45" i="1"/>
  <c r="C43" i="1"/>
  <c r="C41" i="1"/>
  <c r="AU14" i="2" l="1"/>
  <c r="AV14" i="2" s="1"/>
  <c r="AU25" i="2"/>
  <c r="AV25" i="2" s="1"/>
  <c r="AU11" i="2"/>
  <c r="AV11" i="2" s="1"/>
  <c r="AU22" i="2"/>
  <c r="AV22" i="2" s="1"/>
  <c r="AU8" i="2"/>
  <c r="AV8" i="2" s="1"/>
  <c r="AU33" i="4"/>
  <c r="AV33" i="4" s="1"/>
  <c r="AU7" i="4"/>
  <c r="AV7" i="4" s="1"/>
  <c r="E29" i="4"/>
  <c r="AU9" i="2"/>
  <c r="AV9" i="2" s="1"/>
  <c r="AU18" i="2"/>
  <c r="AV18" i="2" s="1"/>
  <c r="AU12" i="2"/>
  <c r="AV12" i="2" s="1"/>
  <c r="AU17" i="2"/>
  <c r="AV17" i="2" s="1"/>
  <c r="AU27" i="2"/>
  <c r="AV27" i="2" s="1"/>
  <c r="AU26" i="2"/>
  <c r="AV26" i="2" s="1"/>
  <c r="AU15" i="2"/>
  <c r="AV15" i="2" s="1"/>
  <c r="AU13" i="2"/>
  <c r="AV13" i="2" s="1"/>
  <c r="AU19" i="2"/>
  <c r="AV19" i="2" s="1"/>
  <c r="AV21" i="4"/>
  <c r="AV24" i="2"/>
  <c r="E29" i="2"/>
  <c r="AU7" i="2"/>
  <c r="AU9" i="1"/>
  <c r="AV9" i="1" s="1"/>
  <c r="W28" i="1"/>
  <c r="W17" i="1"/>
  <c r="W8" i="1"/>
  <c r="AU6" i="1"/>
  <c r="AU5" i="1"/>
  <c r="AU29" i="4" l="1"/>
  <c r="AU32" i="4" s="1"/>
  <c r="AV32" i="4" s="1"/>
  <c r="AU29" i="2"/>
  <c r="AU33" i="2"/>
  <c r="AV33" i="2" s="1"/>
  <c r="AV7" i="2"/>
  <c r="AO20" i="1"/>
  <c r="AO19" i="1"/>
  <c r="AO18" i="1"/>
  <c r="AO14" i="1"/>
  <c r="AO13" i="1"/>
  <c r="AN22" i="1"/>
  <c r="AN10" i="1"/>
  <c r="AK16" i="1"/>
  <c r="AK15" i="1"/>
  <c r="AK12" i="1"/>
  <c r="AK7" i="1"/>
  <c r="AJ19" i="1"/>
  <c r="AJ16" i="1"/>
  <c r="AJ15" i="1"/>
  <c r="AJ12" i="1"/>
  <c r="AJ7" i="1"/>
  <c r="AI20" i="1"/>
  <c r="AI19" i="1"/>
  <c r="AI18" i="1"/>
  <c r="AI16" i="1"/>
  <c r="AI15" i="1"/>
  <c r="AI14" i="1"/>
  <c r="AI13" i="1"/>
  <c r="AI12" i="1"/>
  <c r="AI7" i="1"/>
  <c r="AH20" i="1"/>
  <c r="AH18" i="1"/>
  <c r="AH16" i="1"/>
  <c r="AH15" i="1"/>
  <c r="AH14" i="1"/>
  <c r="AH13" i="1"/>
  <c r="AH12" i="1"/>
  <c r="AH7" i="1"/>
  <c r="AB20" i="1"/>
  <c r="AB16" i="1"/>
  <c r="AA19" i="1"/>
  <c r="AA16" i="1"/>
  <c r="AA7" i="1"/>
  <c r="AE25" i="1"/>
  <c r="AE21" i="1"/>
  <c r="AU21" i="1" s="1"/>
  <c r="AV21" i="1" s="1"/>
  <c r="Y16" i="1"/>
  <c r="Y15" i="1"/>
  <c r="Y12" i="1"/>
  <c r="Y11" i="1"/>
  <c r="X28" i="1"/>
  <c r="X17" i="1"/>
  <c r="X8" i="1"/>
  <c r="V7" i="1"/>
  <c r="U15" i="1"/>
  <c r="U12" i="1"/>
  <c r="U7" i="1"/>
  <c r="T14" i="1"/>
  <c r="T13" i="1"/>
  <c r="AR10" i="1"/>
  <c r="AP22" i="1"/>
  <c r="AM7" i="1"/>
  <c r="AG7" i="1"/>
  <c r="AF7" i="1"/>
  <c r="AD10" i="1"/>
  <c r="N28" i="1"/>
  <c r="N17" i="1"/>
  <c r="N7" i="1"/>
  <c r="AU32" i="2" l="1"/>
  <c r="AV32" i="2" s="1"/>
  <c r="AL24" i="1"/>
  <c r="T29" i="1"/>
  <c r="U29" i="1"/>
  <c r="V29" i="1"/>
  <c r="W29" i="1"/>
  <c r="X29" i="1"/>
  <c r="Y29" i="1"/>
  <c r="AA29" i="1"/>
  <c r="AB29" i="1"/>
  <c r="Z26" i="1"/>
  <c r="Z23" i="1"/>
  <c r="Z18" i="1"/>
  <c r="Z16" i="1"/>
  <c r="Z14" i="1"/>
  <c r="Z13" i="1"/>
  <c r="D29" i="1"/>
  <c r="Z29" i="1" l="1"/>
  <c r="S24" i="1"/>
  <c r="K20" i="1"/>
  <c r="K19" i="1"/>
  <c r="K18" i="1"/>
  <c r="K16" i="1"/>
  <c r="K15" i="1"/>
  <c r="K12" i="1"/>
  <c r="K7" i="1"/>
  <c r="I26" i="1"/>
  <c r="AU26" i="1" s="1"/>
  <c r="AV26" i="1" s="1"/>
  <c r="I27" i="1"/>
  <c r="I28" i="1"/>
  <c r="I23" i="1"/>
  <c r="AU23" i="1" s="1"/>
  <c r="I12" i="1"/>
  <c r="I13" i="1"/>
  <c r="AU13" i="1" s="1"/>
  <c r="AV13" i="1" s="1"/>
  <c r="I14" i="1"/>
  <c r="AU14" i="1" s="1"/>
  <c r="AV14" i="1" s="1"/>
  <c r="I15" i="1"/>
  <c r="I16" i="1"/>
  <c r="I17" i="1"/>
  <c r="I18" i="1"/>
  <c r="I11" i="1"/>
  <c r="I8" i="1"/>
  <c r="H16" i="1"/>
  <c r="H12" i="1"/>
  <c r="H15" i="1"/>
  <c r="H7" i="1"/>
  <c r="E28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E17" i="1"/>
  <c r="AU28" i="1" l="1"/>
  <c r="AV28" i="1" s="1"/>
  <c r="E29" i="1"/>
  <c r="AU18" i="1"/>
  <c r="AV18" i="1" s="1"/>
  <c r="AU8" i="1"/>
  <c r="AV8" i="1" s="1"/>
  <c r="AU16" i="1"/>
  <c r="AV16" i="1" s="1"/>
  <c r="AU15" i="1"/>
  <c r="AV15" i="1" s="1"/>
  <c r="AU12" i="1"/>
  <c r="AV12" i="1" s="1"/>
  <c r="S29" i="1"/>
  <c r="AU24" i="1"/>
  <c r="AV24" i="1" s="1"/>
  <c r="AU11" i="1"/>
  <c r="AV11" i="1" s="1"/>
  <c r="AV23" i="1"/>
  <c r="K29" i="1"/>
  <c r="I29" i="1"/>
  <c r="H29" i="1"/>
  <c r="G29" i="1"/>
  <c r="I38" i="1"/>
  <c r="J36" i="1" s="1"/>
  <c r="K36" i="1" s="1"/>
  <c r="J37" i="1" l="1"/>
  <c r="K37" i="1" s="1"/>
  <c r="J35" i="1"/>
  <c r="K35" i="1" s="1"/>
  <c r="J34" i="1"/>
  <c r="K34" i="1" s="1"/>
  <c r="J38" i="1" l="1"/>
  <c r="N29" i="1"/>
  <c r="L20" i="1"/>
  <c r="L19" i="1"/>
  <c r="AU19" i="1" s="1"/>
  <c r="AV19" i="1" s="1"/>
  <c r="R27" i="1"/>
  <c r="R29" i="1" s="1"/>
  <c r="Q27" i="1"/>
  <c r="P17" i="1"/>
  <c r="P29" i="1" s="1"/>
  <c r="O17" i="1"/>
  <c r="M20" i="1"/>
  <c r="M29" i="1" s="1"/>
  <c r="F25" i="1"/>
  <c r="AU25" i="1" s="1"/>
  <c r="AV25" i="1" s="1"/>
  <c r="F22" i="1"/>
  <c r="AU22" i="1" s="1"/>
  <c r="AV22" i="1" s="1"/>
  <c r="F10" i="1"/>
  <c r="AU10" i="1" s="1"/>
  <c r="AV10" i="1" s="1"/>
  <c r="C29" i="1"/>
  <c r="O29" i="1" l="1"/>
  <c r="AU17" i="1"/>
  <c r="AV17" i="1" s="1"/>
  <c r="Q29" i="1"/>
  <c r="AU27" i="1"/>
  <c r="AU33" i="1" s="1"/>
  <c r="AU20" i="1"/>
  <c r="AV20" i="1" s="1"/>
  <c r="F29" i="1"/>
  <c r="L29" i="1"/>
  <c r="J29" i="1"/>
  <c r="AU7" i="1"/>
  <c r="AV30" i="1"/>
  <c r="AU29" i="1" l="1"/>
  <c r="AV27" i="1"/>
  <c r="AV33" i="1" s="1"/>
  <c r="AV7" i="1"/>
  <c r="AV32" i="1" s="1"/>
  <c r="AU32" i="1" l="1"/>
</calcChain>
</file>

<file path=xl/sharedStrings.xml><?xml version="1.0" encoding="utf-8"?>
<sst xmlns="http://schemas.openxmlformats.org/spreadsheetml/2006/main" count="326" uniqueCount="103">
  <si>
    <t>Rekkefølgekrav Områdeplan Aksdal</t>
  </si>
  <si>
    <t>Område/Krav</t>
  </si>
  <si>
    <t>KJ</t>
  </si>
  <si>
    <t>o_KV6</t>
  </si>
  <si>
    <t>o_KV3</t>
  </si>
  <si>
    <t>f_V4</t>
  </si>
  <si>
    <t>o_V3</t>
  </si>
  <si>
    <t>o_GG1</t>
  </si>
  <si>
    <t>o_GG3</t>
  </si>
  <si>
    <t>o_T</t>
  </si>
  <si>
    <t>o_G2</t>
  </si>
  <si>
    <t>o_G3</t>
  </si>
  <si>
    <t>o_G4</t>
  </si>
  <si>
    <t>o_G5</t>
  </si>
  <si>
    <t>BLK4</t>
  </si>
  <si>
    <t>x</t>
  </si>
  <si>
    <t>S1</t>
  </si>
  <si>
    <t>o_KV1</t>
  </si>
  <si>
    <t>o_KV2</t>
  </si>
  <si>
    <t>o_BLK3</t>
  </si>
  <si>
    <t>B/T1</t>
  </si>
  <si>
    <t>B/T9</t>
  </si>
  <si>
    <t>0_BH</t>
  </si>
  <si>
    <t>O/T1</t>
  </si>
  <si>
    <t>O/T2/U</t>
  </si>
  <si>
    <t>B1</t>
  </si>
  <si>
    <t>B2</t>
  </si>
  <si>
    <t>B3</t>
  </si>
  <si>
    <t>BBB1</t>
  </si>
  <si>
    <t>BBB2</t>
  </si>
  <si>
    <t>BBB3</t>
  </si>
  <si>
    <t>BKS2</t>
  </si>
  <si>
    <t>o_GS10</t>
  </si>
  <si>
    <t>o_BLK2</t>
  </si>
  <si>
    <t>o_V2</t>
  </si>
  <si>
    <t>o_KV8</t>
  </si>
  <si>
    <t>o_KV9</t>
  </si>
  <si>
    <t>o_TV2</t>
  </si>
  <si>
    <t>o_KV4</t>
  </si>
  <si>
    <t>o_KV5</t>
  </si>
  <si>
    <t>o_TV3</t>
  </si>
  <si>
    <t>O_TV4</t>
  </si>
  <si>
    <t>Kryss E134</t>
  </si>
  <si>
    <t>Ny sentrums
rundkjøring</t>
  </si>
  <si>
    <t>o_GS12</t>
  </si>
  <si>
    <t>o_BLK1</t>
  </si>
  <si>
    <t>o_kV11</t>
  </si>
  <si>
    <t>Fortau o_KV11</t>
  </si>
  <si>
    <t>Kommentarer</t>
  </si>
  <si>
    <t>datert</t>
  </si>
  <si>
    <t>Privat/
offentlig</t>
  </si>
  <si>
    <t>Ny
BRA</t>
  </si>
  <si>
    <t>O/P</t>
  </si>
  <si>
    <t>O</t>
  </si>
  <si>
    <t>P</t>
  </si>
  <si>
    <t>barnehage kun KV3 ved egen eiendom?</t>
  </si>
  <si>
    <t>o/T1 - KV rundt eiendommen</t>
  </si>
  <si>
    <t>BBB2 - KV1 fra BH til BB2</t>
  </si>
  <si>
    <t>BBB3 - KV1 og KV11 langs BBB3</t>
  </si>
  <si>
    <t xml:space="preserve">Kostnad  </t>
  </si>
  <si>
    <t>Sum</t>
  </si>
  <si>
    <t>Kostnad VA</t>
  </si>
  <si>
    <t>O/T3</t>
  </si>
  <si>
    <t>KV bygges med tilhørende fortau og sykkelvei</t>
  </si>
  <si>
    <t>bb2 bygger kv1 langs sørside egen eiendom?</t>
  </si>
  <si>
    <t>SUM pr. område</t>
  </si>
  <si>
    <t>Belastning pr. kvm</t>
  </si>
  <si>
    <t>0_GS5</t>
  </si>
  <si>
    <t>o_GS1</t>
  </si>
  <si>
    <t>o_GS2</t>
  </si>
  <si>
    <t>o_GS7</t>
  </si>
  <si>
    <t>BA</t>
  </si>
  <si>
    <t>o_TV1</t>
  </si>
  <si>
    <t>o_TV6</t>
  </si>
  <si>
    <t>o_GS3</t>
  </si>
  <si>
    <t>o_GS4</t>
  </si>
  <si>
    <t>o_GS6</t>
  </si>
  <si>
    <t>o_KV13</t>
  </si>
  <si>
    <t>o_SS</t>
  </si>
  <si>
    <t>B/T2</t>
  </si>
  <si>
    <t>B/T6</t>
  </si>
  <si>
    <t>B/T3</t>
  </si>
  <si>
    <t>B/T4</t>
  </si>
  <si>
    <t>B/T7-B/T8</t>
  </si>
  <si>
    <t>Borhull overvann</t>
  </si>
  <si>
    <t>B/T2 Albatross</t>
  </si>
  <si>
    <t>B/T6 (parkering vest kirke)</t>
  </si>
  <si>
    <t>Kulturhus, vest</t>
  </si>
  <si>
    <t>Kjøpesenter (ny park u.bakken)</t>
  </si>
  <si>
    <t>Nye Kvm &lt;2030</t>
  </si>
  <si>
    <t>Kommunale 
arelaer</t>
  </si>
  <si>
    <t>private</t>
  </si>
  <si>
    <t>S1a</t>
  </si>
  <si>
    <t>p</t>
  </si>
  <si>
    <t>PS Bongsatjørn</t>
  </si>
  <si>
    <t>NOK</t>
  </si>
  <si>
    <t>Privat</t>
  </si>
  <si>
    <t>Tysvær 
kommune</t>
  </si>
  <si>
    <t>Belastning 
snitt</t>
  </si>
  <si>
    <t>Sum VA 
kostnad</t>
  </si>
  <si>
    <t xml:space="preserve"> </t>
  </si>
  <si>
    <t>o_GG1 og o_GG3</t>
  </si>
  <si>
    <t>BLK4, G2 til G5 er redusert med 54%. Se eget notat i saken.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</si>
</sst>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\ %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0" fillId="2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/>
    <xf numFmtId="0" fontId="5" fillId="5" borderId="0" xfId="0" applyFont="1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6" borderId="1" xfId="0" applyFill="1" applyBorder="1"/>
    <xf numFmtId="0" fontId="0" fillId="6" borderId="2" xfId="0" applyFill="1" applyBorder="1"/>
    <xf numFmtId="0" fontId="5" fillId="5" borderId="1" xfId="0" applyFont="1" applyFill="1" applyBorder="1"/>
    <xf numFmtId="0" fontId="0" fillId="5" borderId="1" xfId="0" applyFill="1" applyBorder="1"/>
    <xf numFmtId="165" fontId="0" fillId="6" borderId="1" xfId="1" applyNumberFormat="1" applyFont="1" applyFill="1" applyBorder="1"/>
    <xf numFmtId="165" fontId="3" fillId="6" borderId="1" xfId="1" applyNumberFormat="1" applyFont="1" applyFill="1" applyBorder="1"/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wrapText="1"/>
    </xf>
    <xf numFmtId="165" fontId="0" fillId="4" borderId="1" xfId="1" applyNumberFormat="1" applyFont="1" applyFill="1" applyBorder="1"/>
    <xf numFmtId="165" fontId="0" fillId="0" borderId="1" xfId="1" applyNumberFormat="1" applyFont="1" applyBorder="1"/>
    <xf numFmtId="165" fontId="5" fillId="5" borderId="1" xfId="1" applyNumberFormat="1" applyFont="1" applyFill="1" applyBorder="1"/>
    <xf numFmtId="165" fontId="5" fillId="5" borderId="0" xfId="1" applyNumberFormat="1" applyFont="1" applyFill="1"/>
    <xf numFmtId="165" fontId="0" fillId="5" borderId="1" xfId="1" applyNumberFormat="1" applyFont="1" applyFill="1" applyBorder="1"/>
    <xf numFmtId="165" fontId="0" fillId="0" borderId="0" xfId="1" applyNumberFormat="1" applyFont="1"/>
    <xf numFmtId="0" fontId="0" fillId="7" borderId="2" xfId="0" applyFill="1" applyBorder="1" applyAlignment="1">
      <alignment wrapText="1"/>
    </xf>
    <xf numFmtId="0" fontId="0" fillId="8" borderId="2" xfId="0" applyFill="1" applyBorder="1" applyAlignment="1">
      <alignment wrapText="1"/>
    </xf>
    <xf numFmtId="165" fontId="0" fillId="7" borderId="1" xfId="1" applyNumberFormat="1" applyFont="1" applyFill="1" applyBorder="1"/>
    <xf numFmtId="0" fontId="0" fillId="8" borderId="1" xfId="0" applyFill="1" applyBorder="1"/>
    <xf numFmtId="1" fontId="0" fillId="8" borderId="1" xfId="0" applyNumberFormat="1" applyFill="1" applyBorder="1"/>
    <xf numFmtId="165" fontId="0" fillId="0" borderId="0" xfId="0" applyNumberFormat="1"/>
    <xf numFmtId="165" fontId="5" fillId="9" borderId="1" xfId="1" applyNumberFormat="1" applyFont="1" applyFill="1" applyBorder="1"/>
    <xf numFmtId="165" fontId="0" fillId="0" borderId="1" xfId="1" applyNumberFormat="1" applyFont="1" applyFill="1" applyBorder="1"/>
    <xf numFmtId="0" fontId="0" fillId="9" borderId="1" xfId="0" applyFill="1" applyBorder="1" applyAlignment="1">
      <alignment wrapText="1"/>
    </xf>
    <xf numFmtId="0" fontId="0" fillId="9" borderId="1" xfId="0" applyFill="1" applyBorder="1"/>
    <xf numFmtId="0" fontId="5" fillId="9" borderId="1" xfId="0" applyFont="1" applyFill="1" applyBorder="1"/>
    <xf numFmtId="166" fontId="0" fillId="0" borderId="0" xfId="0" applyNumberFormat="1"/>
    <xf numFmtId="3" fontId="0" fillId="0" borderId="0" xfId="0" applyNumberFormat="1"/>
    <xf numFmtId="1" fontId="0" fillId="0" borderId="0" xfId="0" applyNumberFormat="1"/>
    <xf numFmtId="165" fontId="0" fillId="6" borderId="1" xfId="0" applyNumberFormat="1" applyFill="1" applyBorder="1"/>
    <xf numFmtId="165" fontId="5" fillId="5" borderId="1" xfId="0" applyNumberFormat="1" applyFont="1" applyFill="1" applyBorder="1"/>
    <xf numFmtId="165" fontId="0" fillId="5" borderId="1" xfId="0" applyNumberFormat="1" applyFill="1" applyBorder="1"/>
    <xf numFmtId="165" fontId="0" fillId="0" borderId="1" xfId="0" applyNumberFormat="1" applyBorder="1"/>
    <xf numFmtId="165" fontId="0" fillId="9" borderId="1" xfId="1" applyNumberFormat="1" applyFont="1" applyFill="1" applyBorder="1"/>
    <xf numFmtId="165" fontId="0" fillId="9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165" fontId="5" fillId="0" borderId="1" xfId="1" applyNumberFormat="1" applyFont="1" applyFill="1" applyBorder="1"/>
    <xf numFmtId="0" fontId="5" fillId="0" borderId="1" xfId="0" applyFont="1" applyFill="1" applyBorder="1"/>
    <xf numFmtId="165" fontId="5" fillId="0" borderId="1" xfId="0" applyNumberFormat="1" applyFont="1" applyFill="1" applyBorder="1"/>
    <xf numFmtId="165" fontId="5" fillId="0" borderId="0" xfId="1" applyNumberFormat="1" applyFont="1" applyFill="1"/>
    <xf numFmtId="0" fontId="0" fillId="0" borderId="1" xfId="0" applyFill="1" applyBorder="1"/>
    <xf numFmtId="165" fontId="0" fillId="0" borderId="1" xfId="0" applyNumberFormat="1" applyFill="1" applyBorder="1"/>
    <xf numFmtId="165" fontId="5" fillId="6" borderId="1" xfId="1" applyNumberFormat="1" applyFont="1" applyFill="1" applyBorder="1"/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165" fontId="0" fillId="0" borderId="1" xfId="0" applyNumberFormat="1" applyBorder="1" applyAlignment="1">
      <alignment vertical="center"/>
    </xf>
    <xf numFmtId="0" fontId="0" fillId="6" borderId="1" xfId="0" applyFill="1" applyBorder="1" applyAlignment="1">
      <alignment horizontal="left" indent="2"/>
    </xf>
    <xf numFmtId="1" fontId="0" fillId="6" borderId="1" xfId="0" applyNumberFormat="1" applyFill="1" applyBorder="1" applyAlignment="1">
      <alignment horizontal="right" indent="2"/>
    </xf>
    <xf numFmtId="0" fontId="0" fillId="6" borderId="1" xfId="0" applyFill="1" applyBorder="1" applyAlignment="1">
      <alignment horizontal="right" indent="2"/>
    </xf>
    <xf numFmtId="0" fontId="1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zoomScaleNormal="100" workbookViewId="0">
      <pane xSplit="3" topLeftCell="D1" activePane="topRight" state="frozen"/>
      <selection activeCell="A4" sqref="A4"/>
      <selection pane="topRight" activeCell="AT32" sqref="AT32"/>
    </sheetView>
  </sheetViews>
  <sheetFormatPr baseColWidth="10" defaultColWidth="11.453125" defaultRowHeight="14.5" x14ac:dyDescent="0.35"/>
  <cols>
    <col min="1" max="1" width="13.81640625" customWidth="1"/>
    <col min="2" max="2" width="9.1796875" bestFit="1" customWidth="1"/>
    <col min="3" max="3" width="8.81640625" bestFit="1" customWidth="1"/>
    <col min="4" max="4" width="8.81640625" customWidth="1"/>
    <col min="5" max="8" width="14.81640625" bestFit="1" customWidth="1"/>
    <col min="9" max="9" width="15.81640625" bestFit="1" customWidth="1"/>
    <col min="10" max="12" width="14.81640625" bestFit="1" customWidth="1"/>
    <col min="13" max="13" width="13.453125" bestFit="1" customWidth="1"/>
    <col min="14" max="14" width="14.81640625" bestFit="1" customWidth="1"/>
    <col min="15" max="18" width="13.453125" bestFit="1" customWidth="1"/>
    <col min="19" max="19" width="14.81640625" bestFit="1" customWidth="1"/>
    <col min="20" max="22" width="13.453125" bestFit="1" customWidth="1"/>
    <col min="23" max="23" width="11.453125" bestFit="1" customWidth="1"/>
    <col min="24" max="24" width="13.453125" bestFit="1" customWidth="1"/>
    <col min="25" max="27" width="14.81640625" bestFit="1" customWidth="1"/>
    <col min="28" max="29" width="13.453125" bestFit="1" customWidth="1"/>
    <col min="30" max="31" width="14.81640625" bestFit="1" customWidth="1"/>
    <col min="32" max="33" width="13.453125" bestFit="1" customWidth="1"/>
    <col min="34" max="34" width="14.81640625" bestFit="1" customWidth="1"/>
    <col min="35" max="35" width="13.453125" bestFit="1" customWidth="1"/>
    <col min="36" max="37" width="14.81640625" bestFit="1" customWidth="1"/>
    <col min="38" max="38" width="13.453125" bestFit="1" customWidth="1"/>
    <col min="39" max="39" width="14.81640625" bestFit="1" customWidth="1"/>
    <col min="40" max="40" width="13.453125" bestFit="1" customWidth="1"/>
    <col min="41" max="41" width="12.453125" bestFit="1" customWidth="1"/>
    <col min="42" max="42" width="13.453125" bestFit="1" customWidth="1"/>
    <col min="43" max="43" width="6.453125" bestFit="1" customWidth="1"/>
    <col min="44" max="44" width="13.453125" bestFit="1" customWidth="1"/>
    <col min="45" max="45" width="10" bestFit="1" customWidth="1"/>
    <col min="46" max="46" width="14.81640625" bestFit="1" customWidth="1"/>
    <col min="47" max="47" width="13.81640625" bestFit="1" customWidth="1"/>
  </cols>
  <sheetData>
    <row r="1" spans="1:48" ht="23.5" x14ac:dyDescent="0.55000000000000004">
      <c r="A1" s="1" t="s">
        <v>0</v>
      </c>
      <c r="B1" s="1"/>
      <c r="C1" s="1"/>
      <c r="D1" s="1"/>
    </row>
    <row r="2" spans="1:48" x14ac:dyDescent="0.35">
      <c r="A2" t="s">
        <v>49</v>
      </c>
      <c r="E2" s="2">
        <v>43391</v>
      </c>
    </row>
    <row r="4" spans="1:48" ht="29" x14ac:dyDescent="0.35">
      <c r="A4" s="8" t="s">
        <v>1</v>
      </c>
      <c r="B4" s="9" t="s">
        <v>50</v>
      </c>
      <c r="C4" s="9" t="s">
        <v>51</v>
      </c>
      <c r="D4" s="9" t="s">
        <v>89</v>
      </c>
      <c r="E4" s="9" t="s">
        <v>45</v>
      </c>
      <c r="F4" s="8" t="s">
        <v>33</v>
      </c>
      <c r="G4" s="9" t="s">
        <v>19</v>
      </c>
      <c r="H4" s="8" t="s">
        <v>14</v>
      </c>
      <c r="I4" s="8" t="s">
        <v>17</v>
      </c>
      <c r="J4" s="8" t="s">
        <v>18</v>
      </c>
      <c r="K4" s="8" t="s">
        <v>4</v>
      </c>
      <c r="L4" s="8" t="s">
        <v>38</v>
      </c>
      <c r="M4" s="8" t="s">
        <v>39</v>
      </c>
      <c r="N4" s="8" t="s">
        <v>3</v>
      </c>
      <c r="O4" s="8" t="s">
        <v>35</v>
      </c>
      <c r="P4" s="8" t="s">
        <v>36</v>
      </c>
      <c r="Q4" s="9" t="s">
        <v>46</v>
      </c>
      <c r="R4" s="9" t="s">
        <v>47</v>
      </c>
      <c r="S4" s="9" t="s">
        <v>77</v>
      </c>
      <c r="T4" s="8" t="s">
        <v>34</v>
      </c>
      <c r="U4" s="8" t="s">
        <v>6</v>
      </c>
      <c r="V4" s="8" t="s">
        <v>5</v>
      </c>
      <c r="W4" s="8" t="s">
        <v>68</v>
      </c>
      <c r="X4" s="8" t="s">
        <v>69</v>
      </c>
      <c r="Y4" s="8" t="s">
        <v>74</v>
      </c>
      <c r="Z4" s="8" t="s">
        <v>75</v>
      </c>
      <c r="AA4" s="8" t="s">
        <v>67</v>
      </c>
      <c r="AB4" s="8" t="s">
        <v>76</v>
      </c>
      <c r="AC4" s="8" t="s">
        <v>70</v>
      </c>
      <c r="AD4" s="8" t="s">
        <v>32</v>
      </c>
      <c r="AE4" s="9" t="s">
        <v>44</v>
      </c>
      <c r="AF4" s="8" t="s">
        <v>7</v>
      </c>
      <c r="AG4" s="8" t="s">
        <v>8</v>
      </c>
      <c r="AH4" s="8" t="s">
        <v>10</v>
      </c>
      <c r="AI4" s="8" t="s">
        <v>11</v>
      </c>
      <c r="AJ4" s="8" t="s">
        <v>12</v>
      </c>
      <c r="AK4" s="8" t="s">
        <v>13</v>
      </c>
      <c r="AL4" s="8" t="s">
        <v>78</v>
      </c>
      <c r="AM4" s="8" t="s">
        <v>9</v>
      </c>
      <c r="AN4" s="9" t="s">
        <v>72</v>
      </c>
      <c r="AO4" s="8" t="s">
        <v>37</v>
      </c>
      <c r="AP4" s="9" t="s">
        <v>40</v>
      </c>
      <c r="AQ4" s="34" t="s">
        <v>41</v>
      </c>
      <c r="AR4" s="9" t="s">
        <v>73</v>
      </c>
      <c r="AS4" s="8" t="s">
        <v>42</v>
      </c>
      <c r="AT4" s="9" t="s">
        <v>43</v>
      </c>
      <c r="AU4" s="26" t="s">
        <v>65</v>
      </c>
      <c r="AV4" s="27" t="s">
        <v>66</v>
      </c>
    </row>
    <row r="5" spans="1:48" x14ac:dyDescent="0.35">
      <c r="A5" s="10" t="s">
        <v>59</v>
      </c>
      <c r="B5" s="10"/>
      <c r="C5" s="18"/>
      <c r="D5" s="18"/>
      <c r="E5" s="18">
        <v>1100000</v>
      </c>
      <c r="F5" s="18">
        <v>3900000</v>
      </c>
      <c r="G5" s="18">
        <v>2900000</v>
      </c>
      <c r="H5" s="18">
        <v>5000000</v>
      </c>
      <c r="I5" s="18">
        <v>14900000</v>
      </c>
      <c r="J5" s="18">
        <v>1100000</v>
      </c>
      <c r="K5" s="18">
        <v>3800000</v>
      </c>
      <c r="L5" s="18">
        <v>3550000</v>
      </c>
      <c r="M5" s="18">
        <v>400000</v>
      </c>
      <c r="N5" s="18">
        <v>2400000</v>
      </c>
      <c r="O5" s="18">
        <v>700000</v>
      </c>
      <c r="P5" s="18">
        <v>700000</v>
      </c>
      <c r="Q5" s="18">
        <v>400000</v>
      </c>
      <c r="R5" s="18">
        <v>200000</v>
      </c>
      <c r="S5" s="24">
        <v>6900000</v>
      </c>
      <c r="T5" s="24">
        <v>150000</v>
      </c>
      <c r="U5" s="24">
        <v>225000</v>
      </c>
      <c r="V5" s="24">
        <v>270000</v>
      </c>
      <c r="W5" s="18">
        <v>1000000</v>
      </c>
      <c r="X5" s="18">
        <v>900000</v>
      </c>
      <c r="Y5" s="18">
        <v>2000000</v>
      </c>
      <c r="Z5" s="18">
        <v>1800000</v>
      </c>
      <c r="AA5" s="18">
        <v>2500000</v>
      </c>
      <c r="AB5" s="24">
        <v>140000</v>
      </c>
      <c r="AC5" s="18">
        <v>600000</v>
      </c>
      <c r="AD5" s="24">
        <v>6000000</v>
      </c>
      <c r="AE5" s="24">
        <v>3300000</v>
      </c>
      <c r="AF5" s="24">
        <v>520000</v>
      </c>
      <c r="AG5" s="24">
        <v>200000</v>
      </c>
      <c r="AH5" s="24">
        <v>1450000</v>
      </c>
      <c r="AI5" s="24">
        <v>450000</v>
      </c>
      <c r="AJ5" s="24">
        <v>1300000</v>
      </c>
      <c r="AK5" s="24">
        <v>4800000</v>
      </c>
      <c r="AL5" s="24">
        <v>650000</v>
      </c>
      <c r="AM5" s="24">
        <v>1830000</v>
      </c>
      <c r="AN5" s="24">
        <v>670000</v>
      </c>
      <c r="AO5" s="24">
        <v>70000</v>
      </c>
      <c r="AP5" s="24">
        <v>325000</v>
      </c>
      <c r="AQ5" s="44"/>
      <c r="AR5" s="24">
        <v>325000</v>
      </c>
      <c r="AS5" s="24"/>
      <c r="AT5" s="24">
        <v>3900000</v>
      </c>
      <c r="AU5" s="28">
        <f t="shared" ref="AU5:AU28" si="0">SUM(E5:AT5)</f>
        <v>83325000</v>
      </c>
      <c r="AV5" s="29"/>
    </row>
    <row r="6" spans="1:48" s="3" customFormat="1" x14ac:dyDescent="0.35">
      <c r="A6" s="10" t="s">
        <v>61</v>
      </c>
      <c r="B6" s="10"/>
      <c r="C6" s="18"/>
      <c r="D6" s="18"/>
      <c r="E6" s="19"/>
      <c r="F6" s="18"/>
      <c r="G6" s="19"/>
      <c r="H6" s="18"/>
      <c r="I6" s="18">
        <v>2200000</v>
      </c>
      <c r="J6" s="18">
        <v>1000000</v>
      </c>
      <c r="K6" s="18">
        <v>1600000</v>
      </c>
      <c r="L6" s="18">
        <v>4300000</v>
      </c>
      <c r="M6" s="18"/>
      <c r="N6" s="18">
        <v>1000000</v>
      </c>
      <c r="O6" s="18">
        <v>200000</v>
      </c>
      <c r="P6" s="18">
        <v>200000</v>
      </c>
      <c r="Q6" s="19"/>
      <c r="R6" s="19"/>
      <c r="S6" s="19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  <c r="AF6" s="18"/>
      <c r="AG6" s="18"/>
      <c r="AH6" s="18"/>
      <c r="AI6" s="18"/>
      <c r="AJ6" s="18"/>
      <c r="AK6" s="18"/>
      <c r="AL6" s="18"/>
      <c r="AM6" s="18"/>
      <c r="AN6" s="19"/>
      <c r="AO6" s="18"/>
      <c r="AP6" s="19"/>
      <c r="AQ6" s="45"/>
      <c r="AR6" s="19"/>
      <c r="AS6" s="18"/>
      <c r="AT6" s="19"/>
      <c r="AU6" s="28">
        <f t="shared" si="0"/>
        <v>10500000</v>
      </c>
      <c r="AV6" s="29"/>
    </row>
    <row r="7" spans="1:48" x14ac:dyDescent="0.35">
      <c r="A7" s="8" t="s">
        <v>2</v>
      </c>
      <c r="B7" s="11" t="s">
        <v>52</v>
      </c>
      <c r="C7" s="20">
        <v>22877</v>
      </c>
      <c r="D7" s="20">
        <v>9565</v>
      </c>
      <c r="E7" s="21"/>
      <c r="F7" s="21"/>
      <c r="G7" s="21"/>
      <c r="H7" s="21">
        <f>C7/(C7+C15+C16+C12)*H5</f>
        <v>2423102.995381943</v>
      </c>
      <c r="I7" s="21"/>
      <c r="J7" s="21"/>
      <c r="K7" s="21">
        <f>C7/(C7+C12+C15+C16+C18+C19+C20)*(K5+K6)</f>
        <v>1537605.018483253</v>
      </c>
      <c r="L7" s="21"/>
      <c r="M7" s="21"/>
      <c r="N7" s="21">
        <f>C7/(C7+C17+C28)*(N5+N6)</f>
        <v>2103632.1839080458</v>
      </c>
      <c r="O7" s="21"/>
      <c r="P7" s="21"/>
      <c r="Q7" s="21"/>
      <c r="R7" s="21"/>
      <c r="S7" s="21"/>
      <c r="T7" s="8"/>
      <c r="U7" s="43">
        <f>C7/(C7+C12+C15)*U5</f>
        <v>149644.59109806089</v>
      </c>
      <c r="V7" s="8">
        <f>V5</f>
        <v>270000</v>
      </c>
      <c r="W7" s="8"/>
      <c r="X7" s="8"/>
      <c r="Y7" s="8"/>
      <c r="Z7" s="8"/>
      <c r="AA7" s="43">
        <f>C7/(C7+C16+C19)*AA5</f>
        <v>1105681.8621196302</v>
      </c>
      <c r="AB7" s="8"/>
      <c r="AC7" s="8"/>
      <c r="AD7" s="8"/>
      <c r="AE7" s="8"/>
      <c r="AF7" s="8">
        <f>AF5</f>
        <v>520000</v>
      </c>
      <c r="AG7" s="8">
        <f>AG5</f>
        <v>200000</v>
      </c>
      <c r="AH7" s="43">
        <f>C7/(C7+C12+C13+C14+C15+C16+C18+C20)*AH5</f>
        <v>491679.51264340559</v>
      </c>
      <c r="AI7" s="43">
        <f>C7/(C7+C12+C13+C14+C15+C16+C18+C19+C20)*AI5</f>
        <v>123280.36308768233</v>
      </c>
      <c r="AJ7" s="43">
        <f>C7/(C7+C12+C15+C16+C19)*AJ5</f>
        <v>470228.94728520379</v>
      </c>
      <c r="AK7" s="43">
        <f>C7/(C7+C12+C15+C16)*AK5</f>
        <v>2326178.8755666651</v>
      </c>
      <c r="AL7" s="8"/>
      <c r="AM7" s="8">
        <f>AM5</f>
        <v>1830000</v>
      </c>
      <c r="AN7" s="8"/>
      <c r="AO7" s="8"/>
      <c r="AP7" s="8"/>
      <c r="AQ7" s="35"/>
      <c r="AR7" s="8"/>
      <c r="AS7" s="8"/>
      <c r="AT7" s="21">
        <f>C7/(C7+C9)*AT5</f>
        <v>2889539.1391650746</v>
      </c>
      <c r="AU7" s="28">
        <f t="shared" si="0"/>
        <v>16440573.488738965</v>
      </c>
      <c r="AV7" s="30">
        <f t="shared" ref="AV7:AV28" si="1">AU7/C7</f>
        <v>718.6507622825967</v>
      </c>
    </row>
    <row r="8" spans="1:48" s="5" customFormat="1" x14ac:dyDescent="0.35">
      <c r="A8" s="12" t="s">
        <v>16</v>
      </c>
      <c r="B8" s="12" t="s">
        <v>53</v>
      </c>
      <c r="C8" s="20">
        <v>29798</v>
      </c>
      <c r="D8" s="20">
        <v>4120</v>
      </c>
      <c r="E8" s="16"/>
      <c r="F8" s="16"/>
      <c r="G8" s="16">
        <f>C8/(C$8+C$17+C$27+C11+C9)*G$5</f>
        <v>1056938.0740958182</v>
      </c>
      <c r="H8" s="16"/>
      <c r="I8" s="16">
        <f>C8/(C$8+C$11+C$12+C$13+C$15+C$14+C$16+C$17+C$18+C$23+C$26+C$27+C$28)*(I$5+I$6)</f>
        <v>4491883.600588874</v>
      </c>
      <c r="J8" s="16">
        <f>C8/(C8+C11+C17+C28+C9)*(J5+J6)</f>
        <v>847313.5460109408</v>
      </c>
      <c r="K8" s="16"/>
      <c r="L8" s="16"/>
      <c r="M8" s="16"/>
      <c r="N8" s="16"/>
      <c r="O8" s="16"/>
      <c r="P8" s="16"/>
      <c r="Q8" s="16"/>
      <c r="R8" s="16"/>
      <c r="S8" s="16"/>
      <c r="T8" s="12"/>
      <c r="U8" s="12"/>
      <c r="V8" s="12"/>
      <c r="W8" s="16">
        <f>C8/(C8+C17+C28)*W5</f>
        <v>678831.78421724075</v>
      </c>
      <c r="X8" s="40">
        <f>C8/(C8+C17+C28)*X5</f>
        <v>610948.60579551675</v>
      </c>
      <c r="Y8" s="12"/>
      <c r="Z8" s="12"/>
      <c r="AA8" s="12"/>
      <c r="AB8" s="12"/>
      <c r="AC8" s="40">
        <f>C8/(C8+C17+C28+C9)*AC5</f>
        <v>344512.10112532758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35"/>
      <c r="AR8" s="12"/>
      <c r="AS8" s="12" t="s">
        <v>15</v>
      </c>
      <c r="AT8" s="12"/>
      <c r="AU8" s="28">
        <f t="shared" si="0"/>
        <v>8030427.7118337182</v>
      </c>
      <c r="AV8" s="30">
        <f t="shared" si="1"/>
        <v>269.49552694253703</v>
      </c>
    </row>
    <row r="9" spans="1:48" s="5" customFormat="1" x14ac:dyDescent="0.35">
      <c r="A9" s="12" t="s">
        <v>92</v>
      </c>
      <c r="B9" s="12" t="s">
        <v>53</v>
      </c>
      <c r="C9" s="20">
        <v>8000</v>
      </c>
      <c r="D9" s="20">
        <v>8000</v>
      </c>
      <c r="E9" s="16"/>
      <c r="F9" s="16"/>
      <c r="G9" s="16">
        <f>C9/(C$8+C$17+C$27+C11+C9)*G$5</f>
        <v>283760.80920754903</v>
      </c>
      <c r="H9" s="16"/>
      <c r="I9" s="16"/>
      <c r="J9" s="16">
        <f>C9/(C8+C11+C17+C28+C9)*(J5+J6)</f>
        <v>227481.99100904513</v>
      </c>
      <c r="K9" s="16"/>
      <c r="L9" s="16"/>
      <c r="M9" s="16"/>
      <c r="N9" s="16"/>
      <c r="O9" s="16"/>
      <c r="P9" s="16"/>
      <c r="Q9" s="16"/>
      <c r="R9" s="16"/>
      <c r="S9" s="16"/>
      <c r="T9" s="12"/>
      <c r="U9" s="12"/>
      <c r="V9" s="12"/>
      <c r="W9" s="16"/>
      <c r="X9" s="40"/>
      <c r="Y9" s="12"/>
      <c r="Z9" s="12"/>
      <c r="AA9" s="12"/>
      <c r="AB9" s="12"/>
      <c r="AC9" s="40">
        <f>C9/(C8+C17+C28+C9)*AC5</f>
        <v>92492.677663018359</v>
      </c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35"/>
      <c r="AR9" s="12"/>
      <c r="AS9" s="12"/>
      <c r="AT9" s="16">
        <f>C9/(C7+C9)*AT5</f>
        <v>1010460.8608349257</v>
      </c>
      <c r="AU9" s="28">
        <f t="shared" si="0"/>
        <v>1614196.3387145381</v>
      </c>
      <c r="AV9" s="30">
        <f t="shared" si="1"/>
        <v>201.77454233931726</v>
      </c>
    </row>
    <row r="10" spans="1:48" s="5" customFormat="1" x14ac:dyDescent="0.35">
      <c r="A10" s="12" t="s">
        <v>71</v>
      </c>
      <c r="B10" s="12" t="s">
        <v>53</v>
      </c>
      <c r="C10" s="20">
        <v>25000</v>
      </c>
      <c r="D10" s="20"/>
      <c r="E10" s="16"/>
      <c r="F10" s="16">
        <f>C10/(C10+C22+C25)*F5</f>
        <v>1678487.8115961989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2"/>
      <c r="U10" s="12"/>
      <c r="V10" s="12"/>
      <c r="W10" s="16"/>
      <c r="X10" s="12"/>
      <c r="Y10" s="12"/>
      <c r="Z10" s="12"/>
      <c r="AA10" s="12"/>
      <c r="AB10" s="12"/>
      <c r="AC10" s="12"/>
      <c r="AD10" s="12">
        <f>AD5</f>
        <v>6000000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40">
        <f>C10/(C10+C22)*AN5</f>
        <v>485507.24637681158</v>
      </c>
      <c r="AO10" s="12"/>
      <c r="AP10" s="12"/>
      <c r="AQ10" s="35"/>
      <c r="AR10" s="12">
        <f>AR5</f>
        <v>325000</v>
      </c>
      <c r="AS10" s="12"/>
      <c r="AT10" s="12"/>
      <c r="AU10" s="28">
        <f t="shared" si="0"/>
        <v>8488995.0579730105</v>
      </c>
      <c r="AV10" s="30">
        <f t="shared" si="1"/>
        <v>339.55980231892045</v>
      </c>
    </row>
    <row r="11" spans="1:48" s="5" customFormat="1" x14ac:dyDescent="0.35">
      <c r="A11" s="12" t="s">
        <v>20</v>
      </c>
      <c r="B11" s="12" t="s">
        <v>53</v>
      </c>
      <c r="C11" s="20">
        <v>21956</v>
      </c>
      <c r="D11" s="20">
        <v>2000</v>
      </c>
      <c r="E11" s="16"/>
      <c r="F11" s="16"/>
      <c r="G11" s="16">
        <f>C11/(C$8+C$17+C$27+C11+C9)*G$5</f>
        <v>778781.5408701183</v>
      </c>
      <c r="H11" s="16"/>
      <c r="I11" s="16">
        <f t="shared" ref="I11:I18" si="2">C11/(C$8+C$11+C$12+C$13+C$15+C$14+C$16+C$17+C$18+C$23+C$26+C$27+C$28)*(I$5+I$6)</f>
        <v>3309745.4975008154</v>
      </c>
      <c r="J11" s="16">
        <f>C11/(C8+C11+C17+C28+C9)*(J5+J6)</f>
        <v>624324.32432432438</v>
      </c>
      <c r="K11" s="16"/>
      <c r="L11" s="16"/>
      <c r="M11" s="16"/>
      <c r="N11" s="16"/>
      <c r="O11" s="16"/>
      <c r="P11" s="16"/>
      <c r="Q11" s="16"/>
      <c r="R11" s="16"/>
      <c r="S11" s="16"/>
      <c r="T11" s="12"/>
      <c r="U11" s="12"/>
      <c r="V11" s="12"/>
      <c r="W11" s="16"/>
      <c r="X11" s="12"/>
      <c r="Y11" s="40">
        <f>C11/(C11+C12+C15+C16)*Y5</f>
        <v>948730.69028843043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35"/>
      <c r="AR11" s="12"/>
      <c r="AS11" s="12"/>
      <c r="AT11" s="12"/>
      <c r="AU11" s="28">
        <f t="shared" si="0"/>
        <v>5661582.0529836882</v>
      </c>
      <c r="AV11" s="30">
        <f t="shared" si="1"/>
        <v>257.86035949096777</v>
      </c>
    </row>
    <row r="12" spans="1:48" s="5" customFormat="1" x14ac:dyDescent="0.35">
      <c r="A12" s="12" t="s">
        <v>79</v>
      </c>
      <c r="B12" s="12" t="s">
        <v>53</v>
      </c>
      <c r="C12" s="20">
        <v>7400</v>
      </c>
      <c r="D12" s="20">
        <v>7400</v>
      </c>
      <c r="E12" s="16"/>
      <c r="F12" s="16"/>
      <c r="G12" s="16"/>
      <c r="H12" s="16">
        <f>C12/(C7+C12+C15+C16)*H5</f>
        <v>783798.66966063634</v>
      </c>
      <c r="I12" s="16">
        <f t="shared" si="2"/>
        <v>1115509.0490756982</v>
      </c>
      <c r="J12" s="16"/>
      <c r="K12" s="16">
        <f>C12/(C7+C12+C15+C16+C18+C19+C20)*(K5+K6)</f>
        <v>497367.53668645682</v>
      </c>
      <c r="L12" s="16"/>
      <c r="M12" s="16"/>
      <c r="N12" s="16"/>
      <c r="O12" s="16"/>
      <c r="P12" s="16"/>
      <c r="Q12" s="16"/>
      <c r="R12" s="16"/>
      <c r="S12" s="16"/>
      <c r="T12" s="12"/>
      <c r="U12" s="43">
        <f>C12/(C7+C12+C15)*U5</f>
        <v>48405.384190481731</v>
      </c>
      <c r="V12" s="12"/>
      <c r="W12" s="16"/>
      <c r="X12" s="12"/>
      <c r="Y12" s="40">
        <f>C12/(C11+C12+C15+C16)*Y5</f>
        <v>319758.02095711353</v>
      </c>
      <c r="Z12" s="12"/>
      <c r="AA12" s="12"/>
      <c r="AB12" s="12"/>
      <c r="AC12" s="12"/>
      <c r="AD12" s="12"/>
      <c r="AE12" s="12"/>
      <c r="AF12" s="12"/>
      <c r="AG12" s="12"/>
      <c r="AH12" s="40">
        <f>C12/(C7+C12+C13+C14+C15+C16+C18+C20)*AH5</f>
        <v>159043.07354815758</v>
      </c>
      <c r="AI12" s="40">
        <f>C12/(C7+C12+C13+C14+C15+C16+C18+C19+C20)*AI5</f>
        <v>39877.374080904367</v>
      </c>
      <c r="AJ12" s="40">
        <f>C12/(C7+C12+C15+C16+C19)*AJ5</f>
        <v>152104.48091578914</v>
      </c>
      <c r="AK12" s="40">
        <f>C12/(C7+C12+C15+C16)*AK5</f>
        <v>752446.72287421091</v>
      </c>
      <c r="AL12" s="12"/>
      <c r="AM12" s="12"/>
      <c r="AN12" s="12"/>
      <c r="AO12" s="12"/>
      <c r="AP12" s="12"/>
      <c r="AQ12" s="35"/>
      <c r="AR12" s="12"/>
      <c r="AS12" s="12"/>
      <c r="AT12" s="12"/>
      <c r="AU12" s="28">
        <f t="shared" si="0"/>
        <v>3868310.311989449</v>
      </c>
      <c r="AV12" s="30">
        <f t="shared" si="1"/>
        <v>522.74463675533093</v>
      </c>
    </row>
    <row r="13" spans="1:48" s="5" customFormat="1" x14ac:dyDescent="0.35">
      <c r="A13" s="12" t="s">
        <v>81</v>
      </c>
      <c r="B13" s="12" t="s">
        <v>52</v>
      </c>
      <c r="C13" s="20">
        <v>2065</v>
      </c>
      <c r="D13" s="20">
        <v>0</v>
      </c>
      <c r="E13" s="16"/>
      <c r="F13" s="16"/>
      <c r="G13" s="16"/>
      <c r="H13" s="16"/>
      <c r="I13" s="16">
        <f t="shared" si="2"/>
        <v>311287.32247855637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40">
        <f>C13/(C13+C14)*T5</f>
        <v>97929.181157129307</v>
      </c>
      <c r="U13" s="12"/>
      <c r="V13" s="12"/>
      <c r="W13" s="16"/>
      <c r="X13" s="12"/>
      <c r="Y13" s="12"/>
      <c r="Z13" s="40">
        <f>C13/(C13+C14+C16+C18+C23+C26)*Z5</f>
        <v>139957.82814971008</v>
      </c>
      <c r="AA13" s="12"/>
      <c r="AB13" s="12"/>
      <c r="AC13" s="12"/>
      <c r="AD13" s="12"/>
      <c r="AE13" s="12"/>
      <c r="AF13" s="12"/>
      <c r="AG13" s="12"/>
      <c r="AH13" s="40">
        <f>C13/(C7+C12+C13+C14+C15+C16+C18+C20)*AH5</f>
        <v>44381.614442830461</v>
      </c>
      <c r="AI13" s="40">
        <f>C13/(C7+C12+C13+C14+C15+C16+C18+C19+C20)*AI5</f>
        <v>11127.942902306422</v>
      </c>
      <c r="AJ13" s="12"/>
      <c r="AK13" s="12"/>
      <c r="AL13" s="12"/>
      <c r="AM13" s="12"/>
      <c r="AN13" s="12"/>
      <c r="AO13" s="40">
        <f>C13/(C13+C14+C18+C19+C20)*AO5</f>
        <v>3982.0936639118459</v>
      </c>
      <c r="AP13" s="12"/>
      <c r="AQ13" s="35"/>
      <c r="AR13" s="12"/>
      <c r="AS13" s="12"/>
      <c r="AT13" s="12"/>
      <c r="AU13" s="28">
        <f t="shared" si="0"/>
        <v>608665.98279444443</v>
      </c>
      <c r="AV13" s="30">
        <f t="shared" si="1"/>
        <v>294.75350256389561</v>
      </c>
    </row>
    <row r="14" spans="1:48" s="5" customFormat="1" x14ac:dyDescent="0.35">
      <c r="A14" s="12" t="s">
        <v>82</v>
      </c>
      <c r="B14" s="12" t="s">
        <v>53</v>
      </c>
      <c r="C14" s="20">
        <v>1098</v>
      </c>
      <c r="D14" s="20">
        <v>0</v>
      </c>
      <c r="E14" s="16"/>
      <c r="F14" s="16"/>
      <c r="G14" s="16"/>
      <c r="H14" s="16"/>
      <c r="I14" s="16">
        <f t="shared" si="2"/>
        <v>165517.42376825903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40">
        <f>C14/(C14+C13)*T5</f>
        <v>52070.818842870693</v>
      </c>
      <c r="U14" s="12"/>
      <c r="V14" s="12"/>
      <c r="W14" s="16"/>
      <c r="X14" s="12"/>
      <c r="Y14" s="12"/>
      <c r="Z14" s="40">
        <f>C14/(C13+C14+C16+C18+C23+C26)*Z5</f>
        <v>74418.2543866255</v>
      </c>
      <c r="AA14" s="12"/>
      <c r="AB14" s="12"/>
      <c r="AC14" s="12"/>
      <c r="AD14" s="12"/>
      <c r="AE14" s="12"/>
      <c r="AF14" s="12"/>
      <c r="AG14" s="12"/>
      <c r="AH14" s="40">
        <f>C14/(C7+C12+C13+C14+C15+C16+C18+C20)*AH5</f>
        <v>23598.553345388791</v>
      </c>
      <c r="AI14" s="40">
        <f>C14/(C7+C12+C13+C14+C15+C16+C18+C19+C20)*AI5</f>
        <v>5916.9401001125671</v>
      </c>
      <c r="AJ14" s="12"/>
      <c r="AK14" s="12"/>
      <c r="AL14" s="12"/>
      <c r="AM14" s="12"/>
      <c r="AN14" s="12"/>
      <c r="AO14" s="40">
        <f>C14/(C13+C14+C18+C19+C20)*AO5</f>
        <v>2117.3553719008264</v>
      </c>
      <c r="AP14" s="12"/>
      <c r="AQ14" s="35"/>
      <c r="AR14" s="12"/>
      <c r="AS14" s="12"/>
      <c r="AT14" s="12"/>
      <c r="AU14" s="28">
        <f t="shared" si="0"/>
        <v>323639.3458151574</v>
      </c>
      <c r="AV14" s="30">
        <f t="shared" si="1"/>
        <v>294.75350256389561</v>
      </c>
    </row>
    <row r="15" spans="1:48" s="5" customFormat="1" x14ac:dyDescent="0.35">
      <c r="A15" s="12" t="s">
        <v>80</v>
      </c>
      <c r="B15" s="12" t="s">
        <v>53</v>
      </c>
      <c r="C15" s="20">
        <v>4120</v>
      </c>
      <c r="D15" s="20">
        <v>4120</v>
      </c>
      <c r="E15" s="16"/>
      <c r="F15" s="16"/>
      <c r="G15" s="16"/>
      <c r="H15" s="16">
        <f>C15/(C7+C15+C12+C16)*H5</f>
        <v>436385.20527051645</v>
      </c>
      <c r="I15" s="16">
        <f t="shared" si="2"/>
        <v>621067.20029619965</v>
      </c>
      <c r="J15" s="16"/>
      <c r="K15" s="16">
        <f>C15/(C7+C12+C15+C16+C18+C19+C20)*(K5+K6)</f>
        <v>276912.73664164892</v>
      </c>
      <c r="L15" s="16"/>
      <c r="M15" s="16"/>
      <c r="N15" s="16"/>
      <c r="O15" s="16"/>
      <c r="P15" s="16"/>
      <c r="Q15" s="16"/>
      <c r="R15" s="16"/>
      <c r="S15" s="16"/>
      <c r="T15" s="12"/>
      <c r="U15" s="43">
        <f>C15/(C7+C12+C15)*U5</f>
        <v>26950.024711457394</v>
      </c>
      <c r="V15" s="12"/>
      <c r="W15" s="16"/>
      <c r="X15" s="12"/>
      <c r="Y15" s="40">
        <f>C15/(C11+C12+C15+C16)*Y5</f>
        <v>178027.43869504158</v>
      </c>
      <c r="Z15" s="12"/>
      <c r="AA15" s="12"/>
      <c r="AB15" s="12"/>
      <c r="AC15" s="12"/>
      <c r="AD15" s="12"/>
      <c r="AE15" s="12"/>
      <c r="AF15" s="12"/>
      <c r="AG15" s="12"/>
      <c r="AH15" s="40">
        <f>C15/(C7+C12+C13+C14+C15+C16+C18+C20)*AH5</f>
        <v>88548.305813298546</v>
      </c>
      <c r="AI15" s="40">
        <f>C15/(C7+C12+C13+C14+C15+C16+C18+C19+C20)*AI5</f>
        <v>22201.997461260271</v>
      </c>
      <c r="AJ15" s="40">
        <f>C15/(C7+C12+C15+C16+C19)*AJ5</f>
        <v>84685.197482844771</v>
      </c>
      <c r="AK15" s="40">
        <f>C15/(C7+C12+C15+C16)*AK5</f>
        <v>418929.79705969582</v>
      </c>
      <c r="AL15" s="12"/>
      <c r="AM15" s="12"/>
      <c r="AN15" s="12"/>
      <c r="AO15" s="12"/>
      <c r="AP15" s="12"/>
      <c r="AQ15" s="35"/>
      <c r="AR15" s="12"/>
      <c r="AS15" s="12"/>
      <c r="AT15" s="12"/>
      <c r="AU15" s="28">
        <f t="shared" si="0"/>
        <v>2153707.9034319632</v>
      </c>
      <c r="AV15" s="30">
        <f t="shared" si="1"/>
        <v>522.74463675533082</v>
      </c>
    </row>
    <row r="16" spans="1:48" s="5" customFormat="1" x14ac:dyDescent="0.35">
      <c r="A16" s="12" t="s">
        <v>83</v>
      </c>
      <c r="B16" s="12" t="s">
        <v>53</v>
      </c>
      <c r="C16" s="20">
        <v>12809</v>
      </c>
      <c r="D16" s="20">
        <v>11699</v>
      </c>
      <c r="E16" s="16"/>
      <c r="F16" s="16"/>
      <c r="G16" s="16"/>
      <c r="H16" s="16">
        <f>C16/(C7+C16+C12+C15)*H5</f>
        <v>1356713.1296869041</v>
      </c>
      <c r="I16" s="16">
        <f t="shared" si="2"/>
        <v>1930885.8661635974</v>
      </c>
      <c r="J16" s="16"/>
      <c r="K16" s="16">
        <f>C16/(C7+C12+C15+C16+C18+C19+C20)*(K5+K6)</f>
        <v>860916.32127254398</v>
      </c>
      <c r="L16" s="16"/>
      <c r="M16" s="16"/>
      <c r="N16" s="16"/>
      <c r="O16" s="16"/>
      <c r="P16" s="16"/>
      <c r="Q16" s="16"/>
      <c r="R16" s="16"/>
      <c r="S16" s="16"/>
      <c r="T16" s="12"/>
      <c r="U16" s="12"/>
      <c r="V16" s="12"/>
      <c r="W16" s="16"/>
      <c r="X16" s="12"/>
      <c r="Y16" s="40">
        <f>C16/(C11+C12+C15+C16)*Y5</f>
        <v>553483.85005941452</v>
      </c>
      <c r="Z16" s="40">
        <f>C16/(C13+C14+C16+C18+C23+C26)*Z5</f>
        <v>868145.19165599823</v>
      </c>
      <c r="AA16" s="40">
        <f>C16/(C7+C16+C19)*AA5</f>
        <v>619079.37980899354</v>
      </c>
      <c r="AB16" s="40">
        <f>C16/(C16+C20)*AB5</f>
        <v>62945.698339710063</v>
      </c>
      <c r="AC16" s="12"/>
      <c r="AD16" s="12"/>
      <c r="AE16" s="12"/>
      <c r="AF16" s="12"/>
      <c r="AG16" s="12"/>
      <c r="AH16" s="40">
        <f>C16/(C7+C12+C13+C14+C15+C16+C18+C20)*AH5</f>
        <v>275294.96338896628</v>
      </c>
      <c r="AI16" s="40">
        <f>C16/(C7+C12+C13+C14+C15+C16+C18+C19+C20)*AI5</f>
        <v>69025.579000311351</v>
      </c>
      <c r="AJ16" s="40">
        <f>C16/(C7+C12+C15+C16+C19)*AJ5</f>
        <v>263284.63460139773</v>
      </c>
      <c r="AK16" s="40">
        <f>C16/(C7+C12+C15+C16)*AK5</f>
        <v>1302444.6044994281</v>
      </c>
      <c r="AL16" s="12"/>
      <c r="AM16" s="12"/>
      <c r="AN16" s="12"/>
      <c r="AO16" s="12"/>
      <c r="AP16" s="12"/>
      <c r="AQ16" s="35"/>
      <c r="AR16" s="12"/>
      <c r="AS16" s="12"/>
      <c r="AT16" s="12"/>
      <c r="AU16" s="28">
        <f t="shared" si="0"/>
        <v>8162219.218477264</v>
      </c>
      <c r="AV16" s="30">
        <f t="shared" si="1"/>
        <v>637.22532738521852</v>
      </c>
    </row>
    <row r="17" spans="1:48" s="5" customFormat="1" x14ac:dyDescent="0.35">
      <c r="A17" s="12" t="s">
        <v>21</v>
      </c>
      <c r="B17" s="12" t="s">
        <v>53</v>
      </c>
      <c r="C17" s="20">
        <v>12498</v>
      </c>
      <c r="D17" s="20">
        <v>12498</v>
      </c>
      <c r="E17" s="17">
        <f>C17/(C28+C17)*E5</f>
        <v>975159.59710597247</v>
      </c>
      <c r="F17" s="33"/>
      <c r="G17" s="32">
        <f>C17/(C$8+C$17+C$27+C11+C9)*G$5</f>
        <v>443305.32418449345</v>
      </c>
      <c r="H17" s="16"/>
      <c r="I17" s="16">
        <f t="shared" si="2"/>
        <v>1884004.3372091998</v>
      </c>
      <c r="J17" s="16">
        <f>C17/(C8+C11+C17+C28+C9)*(J5+J6)</f>
        <v>355383.74045388075</v>
      </c>
      <c r="K17" s="16"/>
      <c r="L17" s="16"/>
      <c r="M17" s="16"/>
      <c r="N17" s="16">
        <f>C17/(C7+C17+C28)*(N5+N6)</f>
        <v>1149241.3793103448</v>
      </c>
      <c r="O17" s="16">
        <f>O5+O6</f>
        <v>900000</v>
      </c>
      <c r="P17" s="16">
        <f>P5+P6</f>
        <v>900000</v>
      </c>
      <c r="Q17" s="16"/>
      <c r="R17" s="16"/>
      <c r="S17" s="16"/>
      <c r="T17" s="12"/>
      <c r="U17" s="12"/>
      <c r="V17" s="12"/>
      <c r="W17" s="16">
        <f>C17/(C8+C17+C28)*W5</f>
        <v>284718.42536905414</v>
      </c>
      <c r="X17" s="40">
        <f>C17/(C8+C17+C28)*X5</f>
        <v>256246.58283214871</v>
      </c>
      <c r="Y17" s="12"/>
      <c r="Z17" s="12"/>
      <c r="AA17" s="12"/>
      <c r="AB17" s="12"/>
      <c r="AC17" s="40">
        <f>C17/(C8+C17+C28+C9)*AC5</f>
        <v>144496.6856790504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5"/>
      <c r="AR17" s="12"/>
      <c r="AS17" s="12"/>
      <c r="AT17" s="12"/>
      <c r="AU17" s="28">
        <f t="shared" si="0"/>
        <v>7292556.0721441433</v>
      </c>
      <c r="AV17" s="30">
        <f t="shared" si="1"/>
        <v>583.4978454267997</v>
      </c>
    </row>
    <row r="18" spans="1:48" s="5" customFormat="1" x14ac:dyDescent="0.35">
      <c r="A18" s="12" t="s">
        <v>22</v>
      </c>
      <c r="B18" s="12" t="s">
        <v>53</v>
      </c>
      <c r="C18" s="20">
        <v>1417</v>
      </c>
      <c r="D18" s="20">
        <v>0</v>
      </c>
      <c r="E18" s="16"/>
      <c r="F18" s="16"/>
      <c r="G18" s="16"/>
      <c r="H18" s="16"/>
      <c r="I18" s="16">
        <f t="shared" si="2"/>
        <v>213604.90845138713</v>
      </c>
      <c r="J18" s="16"/>
      <c r="K18" s="17">
        <f>C18/(C7+C12+C15+C16+C18+C19+C20)*(K5+K6)</f>
        <v>95239.162092528291</v>
      </c>
      <c r="L18" s="16"/>
      <c r="M18" s="16"/>
      <c r="N18" s="16"/>
      <c r="O18" s="16"/>
      <c r="P18" s="16"/>
      <c r="Q18" s="16"/>
      <c r="R18" s="16"/>
      <c r="S18" s="16"/>
      <c r="T18" s="12"/>
      <c r="U18" s="12"/>
      <c r="V18" s="12"/>
      <c r="W18" s="16"/>
      <c r="X18" s="12"/>
      <c r="Y18" s="12"/>
      <c r="Z18" s="40">
        <f>C18/(C13+C14+C16+C18+C23+C26)*Z5</f>
        <v>96038.858347767149</v>
      </c>
      <c r="AA18" s="12"/>
      <c r="AB18" s="12"/>
      <c r="AC18" s="12"/>
      <c r="AD18" s="12"/>
      <c r="AE18" s="12"/>
      <c r="AF18" s="12"/>
      <c r="AG18" s="12"/>
      <c r="AH18" s="40">
        <f>C18/(C7+C12+C13+C14+C15+C16+C18+C20)*AH5</f>
        <v>30454.599353748552</v>
      </c>
      <c r="AI18" s="40">
        <f>C18/(C7+C12+C13+C14+C15+C16+C18+C19+C20)*AI5</f>
        <v>7635.9782530596603</v>
      </c>
      <c r="AJ18" s="12"/>
      <c r="AK18" s="12"/>
      <c r="AL18" s="12"/>
      <c r="AM18" s="12"/>
      <c r="AN18" s="12"/>
      <c r="AO18" s="40">
        <f>C18/(C13+C14+C18+C19+C20)*AO5</f>
        <v>2732.5068870523419</v>
      </c>
      <c r="AP18" s="12"/>
      <c r="AQ18" s="35"/>
      <c r="AR18" s="12"/>
      <c r="AS18" s="12"/>
      <c r="AT18" s="12"/>
      <c r="AU18" s="28">
        <f t="shared" si="0"/>
        <v>445706.01338554313</v>
      </c>
      <c r="AV18" s="30">
        <f t="shared" si="1"/>
        <v>314.54199956636779</v>
      </c>
    </row>
    <row r="19" spans="1:48" s="5" customFormat="1" x14ac:dyDescent="0.35">
      <c r="A19" s="12" t="s">
        <v>23</v>
      </c>
      <c r="B19" s="12" t="s">
        <v>53</v>
      </c>
      <c r="C19" s="20">
        <v>16040</v>
      </c>
      <c r="D19" s="20">
        <v>9440</v>
      </c>
      <c r="E19" s="16"/>
      <c r="F19" s="16"/>
      <c r="G19" s="16"/>
      <c r="H19" s="16"/>
      <c r="I19" s="16"/>
      <c r="J19" s="16"/>
      <c r="K19" s="17">
        <f>C19/(C7+C12+C15+C16+C18+C19+C20)*(K5+K6)</f>
        <v>1078077.7416825362</v>
      </c>
      <c r="L19" s="17">
        <f>C19/(C19+C20)*(L5+L6)</f>
        <v>3969546.0277427495</v>
      </c>
      <c r="M19" s="16"/>
      <c r="N19" s="16"/>
      <c r="O19" s="16"/>
      <c r="P19" s="16"/>
      <c r="Q19" s="16"/>
      <c r="R19" s="16"/>
      <c r="S19" s="16"/>
      <c r="T19" s="12"/>
      <c r="U19" s="12"/>
      <c r="V19" s="12"/>
      <c r="W19" s="16"/>
      <c r="X19" s="12"/>
      <c r="Y19" s="12"/>
      <c r="Z19" s="12"/>
      <c r="AA19" s="40">
        <f>C19/(C7+C16+C19)*AA5</f>
        <v>775238.75807137613</v>
      </c>
      <c r="AB19" s="12"/>
      <c r="AC19" s="12"/>
      <c r="AD19" s="12"/>
      <c r="AE19" s="12"/>
      <c r="AF19" s="12"/>
      <c r="AG19" s="12"/>
      <c r="AH19" s="12"/>
      <c r="AI19" s="40">
        <f>C19/(C7+C12+C13+C14+C15+C16+C18++C19+C20)*AI5</f>
        <v>86436.902737527838</v>
      </c>
      <c r="AJ19" s="40">
        <f>C19/(C7+C12+C15+C16+C19)*AJ5</f>
        <v>329696.73971476458</v>
      </c>
      <c r="AK19" s="12"/>
      <c r="AL19" s="12"/>
      <c r="AM19" s="12"/>
      <c r="AN19" s="12"/>
      <c r="AO19" s="40">
        <f>C19/(C13+C14+C18+C19+C20)*AO5</f>
        <v>30931.129476584021</v>
      </c>
      <c r="AP19" s="12"/>
      <c r="AQ19" s="35"/>
      <c r="AR19" s="12"/>
      <c r="AS19" s="12"/>
      <c r="AT19" s="12"/>
      <c r="AU19" s="28">
        <f t="shared" si="0"/>
        <v>6269927.2994255386</v>
      </c>
      <c r="AV19" s="30">
        <f t="shared" si="1"/>
        <v>390.89322315620564</v>
      </c>
    </row>
    <row r="20" spans="1:48" s="5" customFormat="1" x14ac:dyDescent="0.35">
      <c r="A20" s="12" t="s">
        <v>24</v>
      </c>
      <c r="B20" s="12" t="s">
        <v>53</v>
      </c>
      <c r="C20" s="20">
        <v>15680</v>
      </c>
      <c r="D20" s="20">
        <v>0</v>
      </c>
      <c r="E20" s="16"/>
      <c r="F20" s="16"/>
      <c r="G20" s="16"/>
      <c r="H20" s="16"/>
      <c r="I20" s="16"/>
      <c r="J20" s="16"/>
      <c r="K20" s="16">
        <f>C20/(C7+C12+C15+C16+C18+C19+C20)*(K5+K6)</f>
        <v>1053881.483141033</v>
      </c>
      <c r="L20" s="17">
        <f>C20/(C19+C20)*(L5+L6)</f>
        <v>3880453.9722572509</v>
      </c>
      <c r="M20" s="16">
        <f>M5</f>
        <v>400000</v>
      </c>
      <c r="N20" s="16"/>
      <c r="O20" s="16"/>
      <c r="P20" s="16"/>
      <c r="Q20" s="16"/>
      <c r="R20" s="16"/>
      <c r="S20" s="16"/>
      <c r="T20" s="12"/>
      <c r="U20" s="12"/>
      <c r="V20" s="12"/>
      <c r="W20" s="16"/>
      <c r="X20" s="12"/>
      <c r="Y20" s="12"/>
      <c r="Z20" s="12"/>
      <c r="AA20" s="12"/>
      <c r="AB20" s="40">
        <f>C20/(C16+C20)*AB5</f>
        <v>77054.30166028993</v>
      </c>
      <c r="AC20" s="12"/>
      <c r="AD20" s="12"/>
      <c r="AE20" s="12"/>
      <c r="AF20" s="12"/>
      <c r="AG20" s="12"/>
      <c r="AH20" s="40">
        <f>C20/(C7+C12+C13+C14+C15+C16+C18+C20)*AH5</f>
        <v>336999.37746420415</v>
      </c>
      <c r="AI20" s="40">
        <f>C20/(C7+C12+C13+C14+C15+C16+C18+C19+C20)*AI5</f>
        <v>84496.922376835195</v>
      </c>
      <c r="AJ20" s="12"/>
      <c r="AK20" s="12"/>
      <c r="AL20" s="12"/>
      <c r="AM20" s="12"/>
      <c r="AN20" s="12"/>
      <c r="AO20" s="40">
        <f>C20/(C13+C14+C18+C19+C20)*AO5</f>
        <v>30236.914600550965</v>
      </c>
      <c r="AP20" s="12"/>
      <c r="AQ20" s="35"/>
      <c r="AR20" s="12"/>
      <c r="AS20" s="12"/>
      <c r="AT20" s="12"/>
      <c r="AU20" s="28">
        <f t="shared" si="0"/>
        <v>5863122.9715001639</v>
      </c>
      <c r="AV20" s="30">
        <f t="shared" si="1"/>
        <v>373.92365889669412</v>
      </c>
    </row>
    <row r="21" spans="1:48" s="5" customFormat="1" x14ac:dyDescent="0.35">
      <c r="A21" s="12" t="s">
        <v>62</v>
      </c>
      <c r="B21" s="12" t="s">
        <v>53</v>
      </c>
      <c r="C21" s="20">
        <v>500</v>
      </c>
      <c r="D21" s="20">
        <v>120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2"/>
      <c r="U21" s="12"/>
      <c r="V21" s="12"/>
      <c r="W21" s="16"/>
      <c r="X21" s="12"/>
      <c r="Y21" s="12"/>
      <c r="Z21" s="12"/>
      <c r="AA21" s="12"/>
      <c r="AB21" s="12"/>
      <c r="AC21" s="12"/>
      <c r="AD21" s="12"/>
      <c r="AE21" s="40">
        <f>C21/(C21+C25)*AE5</f>
        <v>68498.83759548323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5"/>
      <c r="AR21" s="12"/>
      <c r="AS21" s="12"/>
      <c r="AT21" s="12"/>
      <c r="AU21" s="28">
        <f t="shared" si="0"/>
        <v>68498.83759548323</v>
      </c>
      <c r="AV21" s="30">
        <f t="shared" si="1"/>
        <v>136.99767519096645</v>
      </c>
    </row>
    <row r="22" spans="1:48" s="5" customFormat="1" x14ac:dyDescent="0.35">
      <c r="A22" s="12" t="s">
        <v>25</v>
      </c>
      <c r="B22" s="12" t="s">
        <v>53</v>
      </c>
      <c r="C22" s="20">
        <v>9500</v>
      </c>
      <c r="D22" s="20"/>
      <c r="E22" s="16"/>
      <c r="F22" s="16">
        <f>C22/(C10+C22+C25)*F5</f>
        <v>637825.36840655562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2"/>
      <c r="U22" s="12"/>
      <c r="V22" s="12"/>
      <c r="W22" s="16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40">
        <f>C22/(C10+C22)*AN5</f>
        <v>184492.75362318842</v>
      </c>
      <c r="AO22" s="12"/>
      <c r="AP22" s="12">
        <f>AP5</f>
        <v>325000</v>
      </c>
      <c r="AQ22" s="35"/>
      <c r="AR22" s="12"/>
      <c r="AS22" s="12" t="s">
        <v>15</v>
      </c>
      <c r="AT22" s="12"/>
      <c r="AU22" s="28">
        <f t="shared" si="0"/>
        <v>1147318.1220297441</v>
      </c>
      <c r="AV22" s="30">
        <f t="shared" si="1"/>
        <v>120.7703286347099</v>
      </c>
    </row>
    <row r="23" spans="1:48" s="7" customFormat="1" x14ac:dyDescent="0.35">
      <c r="A23" s="14" t="s">
        <v>26</v>
      </c>
      <c r="B23" s="14" t="s">
        <v>54</v>
      </c>
      <c r="C23" s="22">
        <v>7159</v>
      </c>
      <c r="D23" s="22">
        <v>7159</v>
      </c>
      <c r="E23" s="22"/>
      <c r="F23" s="22"/>
      <c r="G23" s="22"/>
      <c r="H23" s="22"/>
      <c r="I23" s="24">
        <f>C23/(C$8+C$11+C$12+C$13+C$15+C$14+C$16+C$17+C$18+C$23+C$26+C$27+C$28)*(I$5+I$6)</f>
        <v>1079179.6327476925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4"/>
      <c r="U23" s="14"/>
      <c r="V23" s="14"/>
      <c r="W23" s="22"/>
      <c r="X23" s="14"/>
      <c r="Y23" s="14"/>
      <c r="Z23" s="41">
        <f>C23/(C13+C14+C16+C18+C23+C26)*Z5</f>
        <v>485209.72964831692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36"/>
      <c r="AR23" s="14"/>
      <c r="AS23" s="14"/>
      <c r="AT23" s="14"/>
      <c r="AU23" s="28">
        <f t="shared" si="0"/>
        <v>1564389.3623960095</v>
      </c>
      <c r="AV23" s="30">
        <f t="shared" si="1"/>
        <v>218.52065405727188</v>
      </c>
    </row>
    <row r="24" spans="1:48" s="7" customFormat="1" x14ac:dyDescent="0.35">
      <c r="A24" s="14" t="s">
        <v>27</v>
      </c>
      <c r="B24" s="14" t="s">
        <v>54</v>
      </c>
      <c r="C24" s="22">
        <v>39500</v>
      </c>
      <c r="D24" s="22"/>
      <c r="E24" s="22"/>
      <c r="F24" s="23"/>
      <c r="G24" s="22"/>
      <c r="H24" s="22"/>
      <c r="I24" s="24"/>
      <c r="J24" s="22"/>
      <c r="K24" s="22"/>
      <c r="L24" s="22"/>
      <c r="M24" s="22"/>
      <c r="N24" s="22"/>
      <c r="O24" s="22"/>
      <c r="P24" s="22"/>
      <c r="Q24" s="22"/>
      <c r="R24" s="22"/>
      <c r="S24" s="22">
        <f>S5</f>
        <v>6900000</v>
      </c>
      <c r="T24" s="14"/>
      <c r="U24" s="14"/>
      <c r="V24" s="14"/>
      <c r="W24" s="22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>
        <f>AL5</f>
        <v>650000</v>
      </c>
      <c r="AM24" s="14"/>
      <c r="AN24" s="14"/>
      <c r="AO24" s="14"/>
      <c r="AP24" s="14"/>
      <c r="AQ24" s="36" t="s">
        <v>15</v>
      </c>
      <c r="AR24" s="14"/>
      <c r="AS24" s="14"/>
      <c r="AT24" s="14"/>
      <c r="AU24" s="28">
        <f t="shared" si="0"/>
        <v>7550000</v>
      </c>
      <c r="AV24" s="30">
        <f t="shared" si="1"/>
        <v>191.13924050632912</v>
      </c>
    </row>
    <row r="25" spans="1:48" s="5" customFormat="1" ht="15.75" customHeight="1" x14ac:dyDescent="0.35">
      <c r="A25" s="15" t="s">
        <v>28</v>
      </c>
      <c r="B25" s="15" t="s">
        <v>93</v>
      </c>
      <c r="C25" s="24">
        <v>23588</v>
      </c>
      <c r="D25" s="24"/>
      <c r="E25" s="24"/>
      <c r="F25" s="24">
        <f>C25/(C10+C22+C25)*F5</f>
        <v>1583686.8199972454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5"/>
      <c r="U25" s="15"/>
      <c r="V25" s="15"/>
      <c r="W25" s="24"/>
      <c r="X25" s="15"/>
      <c r="Y25" s="15"/>
      <c r="Z25" s="15"/>
      <c r="AA25" s="15"/>
      <c r="AB25" s="15"/>
      <c r="AC25" s="15"/>
      <c r="AD25" s="15"/>
      <c r="AE25" s="42">
        <f>C25/(C21+C25)*AE5</f>
        <v>3231501.1624045167</v>
      </c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28">
        <f t="shared" si="0"/>
        <v>4815187.9824017622</v>
      </c>
      <c r="AV25" s="30">
        <f t="shared" si="1"/>
        <v>204.1371876548144</v>
      </c>
    </row>
    <row r="26" spans="1:48" s="4" customFormat="1" x14ac:dyDescent="0.35">
      <c r="A26" s="15" t="s">
        <v>29</v>
      </c>
      <c r="B26" s="15" t="s">
        <v>54</v>
      </c>
      <c r="C26" s="24">
        <v>2010</v>
      </c>
      <c r="D26" s="24">
        <v>2010</v>
      </c>
      <c r="E26" s="24"/>
      <c r="F26" s="24"/>
      <c r="G26" s="24"/>
      <c r="H26" s="24"/>
      <c r="I26" s="24">
        <f>C26/(C$8+C$11+C$12+C$13+C$15+C$14+C$16+C$17+C$18+C$23+C$26+C$27+C$28)*(I$5+I$6)</f>
        <v>302996.37684353429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5"/>
      <c r="U26" s="15"/>
      <c r="V26" s="15"/>
      <c r="W26" s="24"/>
      <c r="X26" s="15"/>
      <c r="Y26" s="15"/>
      <c r="Z26" s="42">
        <f>C26/(C13+C14+C16+C18+C23+C26)*Z5</f>
        <v>136230.13781158222</v>
      </c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35"/>
      <c r="AR26" s="15"/>
      <c r="AS26" s="15"/>
      <c r="AT26" s="15"/>
      <c r="AU26" s="28">
        <f t="shared" si="0"/>
        <v>439226.51465511648</v>
      </c>
      <c r="AV26" s="30">
        <f t="shared" si="1"/>
        <v>218.52065405727188</v>
      </c>
    </row>
    <row r="27" spans="1:48" s="4" customFormat="1" x14ac:dyDescent="0.35">
      <c r="A27" s="15" t="s">
        <v>30</v>
      </c>
      <c r="B27" s="15" t="s">
        <v>54</v>
      </c>
      <c r="C27" s="24">
        <v>9507</v>
      </c>
      <c r="D27" s="24"/>
      <c r="E27" s="24"/>
      <c r="F27" s="24"/>
      <c r="G27" s="24">
        <f>C27/(C$8+C$17+C$27+C11+C9)*G$5</f>
        <v>337214.25164202106</v>
      </c>
      <c r="H27" s="24"/>
      <c r="I27" s="24">
        <f>C27/(C$8+C$11+C$12+C$13+C$15+C$14+C$16+C$17+C$18+C$23+C$26+C$27+C$28)*(I$5+I$6)</f>
        <v>1433127.6391300899</v>
      </c>
      <c r="J27" s="24"/>
      <c r="K27" s="24"/>
      <c r="L27" s="24"/>
      <c r="M27" s="24"/>
      <c r="N27" s="24"/>
      <c r="O27" s="24"/>
      <c r="P27" s="24"/>
      <c r="Q27" s="24">
        <f>Q5</f>
        <v>400000</v>
      </c>
      <c r="R27" s="24">
        <f>R5</f>
        <v>200000</v>
      </c>
      <c r="S27" s="24"/>
      <c r="T27" s="15"/>
      <c r="U27" s="15"/>
      <c r="V27" s="15"/>
      <c r="W27" s="2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35"/>
      <c r="AR27" s="15"/>
      <c r="AS27" s="15"/>
      <c r="AT27" s="15"/>
      <c r="AU27" s="28">
        <f t="shared" si="0"/>
        <v>2370341.8907721108</v>
      </c>
      <c r="AV27" s="30">
        <f t="shared" si="1"/>
        <v>249.32595884843911</v>
      </c>
    </row>
    <row r="28" spans="1:48" s="5" customFormat="1" x14ac:dyDescent="0.35">
      <c r="A28" s="12" t="s">
        <v>31</v>
      </c>
      <c r="B28" s="12" t="s">
        <v>53</v>
      </c>
      <c r="C28" s="20">
        <v>1600</v>
      </c>
      <c r="D28" s="20"/>
      <c r="E28" s="16">
        <f>C28/(C28+C17)*E5</f>
        <v>124840.40289402753</v>
      </c>
      <c r="F28" s="12"/>
      <c r="G28" s="12"/>
      <c r="H28" s="12"/>
      <c r="I28" s="16">
        <f>C28/(C$8+C$11+C$12+C$13+C$15+C$14+C$16+C$17+C$18+C$23+C$26+C$27+C$28)*(I$5+I$6)</f>
        <v>241191.14574609694</v>
      </c>
      <c r="J28" s="40">
        <f>C28/(C8+C11+C17+C28+C9)*(J5+J6)</f>
        <v>45496.398201809025</v>
      </c>
      <c r="K28" s="12"/>
      <c r="L28" s="12"/>
      <c r="M28" s="12"/>
      <c r="N28" s="40">
        <f>C28/(C7+C17+C28)*(N5+N6)</f>
        <v>147126.4367816092</v>
      </c>
      <c r="O28" s="12"/>
      <c r="P28" s="12"/>
      <c r="Q28" s="12"/>
      <c r="R28" s="12"/>
      <c r="S28" s="12"/>
      <c r="T28" s="12"/>
      <c r="U28" s="12"/>
      <c r="V28" s="12"/>
      <c r="W28" s="16">
        <f>C28/(C8+C17+C28)*W5</f>
        <v>36449.790413705123</v>
      </c>
      <c r="X28" s="40">
        <f>C28/(C8+C17+C28)*X5</f>
        <v>32804.81137233461</v>
      </c>
      <c r="Y28" s="12"/>
      <c r="Z28" s="12"/>
      <c r="AA28" s="12"/>
      <c r="AB28" s="12"/>
      <c r="AC28" s="40">
        <f>C28/(C8+C17+C28+C9)*AC5</f>
        <v>18498.53553260367</v>
      </c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5"/>
      <c r="AR28" s="12"/>
      <c r="AS28" s="12"/>
      <c r="AT28" s="12"/>
      <c r="AU28" s="28">
        <f t="shared" si="0"/>
        <v>646407.52094218612</v>
      </c>
      <c r="AV28" s="30">
        <f t="shared" si="1"/>
        <v>404.00470058886634</v>
      </c>
    </row>
    <row r="29" spans="1:48" x14ac:dyDescent="0.35">
      <c r="A29" s="13" t="s">
        <v>60</v>
      </c>
      <c r="C29" s="25">
        <f>SUM(C7:C28)</f>
        <v>274122</v>
      </c>
      <c r="D29" s="25">
        <f>SUM(D7:D28)</f>
        <v>78131</v>
      </c>
      <c r="E29" s="25">
        <f t="shared" ref="E29:AT29" si="3">SUM(E7:E28)</f>
        <v>1100000</v>
      </c>
      <c r="F29" s="25">
        <f t="shared" si="3"/>
        <v>3900000</v>
      </c>
      <c r="G29" s="25">
        <f t="shared" si="3"/>
        <v>2900000</v>
      </c>
      <c r="H29" s="25">
        <f t="shared" si="3"/>
        <v>5000000</v>
      </c>
      <c r="I29" s="25">
        <f t="shared" si="3"/>
        <v>17100000.000000004</v>
      </c>
      <c r="J29" s="25">
        <f t="shared" si="3"/>
        <v>2100000</v>
      </c>
      <c r="K29" s="25">
        <f t="shared" si="3"/>
        <v>5400000</v>
      </c>
      <c r="L29" s="25">
        <f t="shared" si="3"/>
        <v>7850000</v>
      </c>
      <c r="M29" s="25">
        <f t="shared" si="3"/>
        <v>400000</v>
      </c>
      <c r="N29" s="25">
        <f t="shared" si="3"/>
        <v>3400000</v>
      </c>
      <c r="O29" s="25">
        <f t="shared" si="3"/>
        <v>900000</v>
      </c>
      <c r="P29" s="25">
        <f t="shared" si="3"/>
        <v>900000</v>
      </c>
      <c r="Q29" s="25">
        <f t="shared" si="3"/>
        <v>400000</v>
      </c>
      <c r="R29" s="25">
        <f t="shared" si="3"/>
        <v>200000</v>
      </c>
      <c r="S29" s="25">
        <f t="shared" si="3"/>
        <v>6900000</v>
      </c>
      <c r="T29" s="25">
        <f t="shared" si="3"/>
        <v>150000</v>
      </c>
      <c r="U29" s="25">
        <f t="shared" si="3"/>
        <v>225000.00000000003</v>
      </c>
      <c r="V29" s="25">
        <f t="shared" si="3"/>
        <v>270000</v>
      </c>
      <c r="W29" s="25">
        <f t="shared" si="3"/>
        <v>1000000</v>
      </c>
      <c r="X29" s="25">
        <f t="shared" si="3"/>
        <v>900000</v>
      </c>
      <c r="Y29" s="25">
        <f t="shared" si="3"/>
        <v>2000000.0000000002</v>
      </c>
      <c r="Z29" s="25">
        <f>SUM(Z7:Z28)</f>
        <v>1800000</v>
      </c>
      <c r="AA29" s="25">
        <f t="shared" si="3"/>
        <v>2500000</v>
      </c>
      <c r="AB29" s="25">
        <f t="shared" si="3"/>
        <v>140000</v>
      </c>
      <c r="AC29" s="25">
        <f t="shared" si="3"/>
        <v>599999.99999999988</v>
      </c>
      <c r="AD29" s="25">
        <f t="shared" si="3"/>
        <v>6000000</v>
      </c>
      <c r="AE29" s="25">
        <f t="shared" si="3"/>
        <v>3300000</v>
      </c>
      <c r="AF29" s="25">
        <f t="shared" si="3"/>
        <v>520000</v>
      </c>
      <c r="AG29" s="25">
        <f t="shared" si="3"/>
        <v>200000</v>
      </c>
      <c r="AH29" s="25">
        <f t="shared" si="3"/>
        <v>1449999.9999999998</v>
      </c>
      <c r="AI29" s="25">
        <f t="shared" si="3"/>
        <v>450000.00000000006</v>
      </c>
      <c r="AJ29" s="25">
        <f t="shared" si="3"/>
        <v>1300000</v>
      </c>
      <c r="AK29" s="25">
        <f t="shared" si="3"/>
        <v>4800000</v>
      </c>
      <c r="AL29" s="25">
        <f t="shared" si="3"/>
        <v>650000</v>
      </c>
      <c r="AM29" s="25">
        <f t="shared" si="3"/>
        <v>1830000</v>
      </c>
      <c r="AN29" s="25">
        <f t="shared" si="3"/>
        <v>670000</v>
      </c>
      <c r="AO29" s="25">
        <f t="shared" si="3"/>
        <v>70000</v>
      </c>
      <c r="AP29" s="25">
        <f t="shared" si="3"/>
        <v>325000</v>
      </c>
      <c r="AQ29" s="25">
        <f t="shared" si="3"/>
        <v>0</v>
      </c>
      <c r="AR29" s="25">
        <f t="shared" si="3"/>
        <v>325000</v>
      </c>
      <c r="AS29" s="25">
        <f t="shared" si="3"/>
        <v>0</v>
      </c>
      <c r="AT29" s="25">
        <f t="shared" si="3"/>
        <v>3900000</v>
      </c>
      <c r="AU29" s="25">
        <f>SUM(AU7:AU28)</f>
        <v>93824999.999999985</v>
      </c>
      <c r="AV29" s="25"/>
    </row>
    <row r="30" spans="1:48" x14ac:dyDescent="0.35">
      <c r="AV30" s="31">
        <f>(AU5+AU6)/C29</f>
        <v>342.27460765644491</v>
      </c>
    </row>
    <row r="32" spans="1:48" ht="23.5" x14ac:dyDescent="0.55000000000000004">
      <c r="A32" s="1" t="s">
        <v>48</v>
      </c>
      <c r="B32" s="1"/>
      <c r="C32" s="1"/>
      <c r="D32" s="1"/>
      <c r="AS32" s="1"/>
      <c r="AU32" s="31">
        <f>AU29-AU33</f>
        <v>77085854.249774992</v>
      </c>
      <c r="AV32" s="39">
        <f>SUM(AV7+AV8+AV9+AV10+AV11+AV12+AV13+AV14+AV15+AV16+AV17+AV18+AV19+AV20+AV21+AV22+AV28)/16</f>
        <v>399.01200192866372</v>
      </c>
    </row>
    <row r="33" spans="1:48" x14ac:dyDescent="0.35">
      <c r="A33" t="s">
        <v>63</v>
      </c>
      <c r="H33" t="s">
        <v>84</v>
      </c>
      <c r="AU33" s="31">
        <f>SUM(AU23+AU24+AU26+AU27+AU25)</f>
        <v>16739145.750225</v>
      </c>
      <c r="AV33" s="31">
        <f>SUM(AV23+AV24+AV26+AV27+AV25)/5</f>
        <v>216.3287390248253</v>
      </c>
    </row>
    <row r="34" spans="1:48" x14ac:dyDescent="0.35">
      <c r="A34" s="6" t="s">
        <v>64</v>
      </c>
      <c r="H34" t="s">
        <v>85</v>
      </c>
      <c r="I34" s="39">
        <v>3.17</v>
      </c>
      <c r="J34" s="37">
        <f>I34/$I$38</f>
        <v>0.14815161003879049</v>
      </c>
      <c r="K34" s="38">
        <f>MROUND($K$38*J34,10000)</f>
        <v>140000</v>
      </c>
    </row>
    <row r="35" spans="1:48" x14ac:dyDescent="0.35">
      <c r="A35" t="s">
        <v>55</v>
      </c>
      <c r="H35" t="s">
        <v>86</v>
      </c>
      <c r="I35" s="39">
        <v>2.14</v>
      </c>
      <c r="J35" s="37">
        <f t="shared" ref="J35:J37" si="4">I35/$I$38</f>
        <v>0.10001402065710148</v>
      </c>
      <c r="K35" s="38">
        <f t="shared" ref="K35:K37" si="5">MROUND($K$38*J35,10000)</f>
        <v>100000</v>
      </c>
    </row>
    <row r="36" spans="1:48" x14ac:dyDescent="0.35">
      <c r="A36" t="s">
        <v>56</v>
      </c>
      <c r="H36" t="s">
        <v>87</v>
      </c>
      <c r="I36" s="39">
        <v>4.0869999999999997</v>
      </c>
      <c r="J36" s="37">
        <f t="shared" si="4"/>
        <v>0.19100808524559518</v>
      </c>
      <c r="K36" s="38">
        <f t="shared" si="5"/>
        <v>190000</v>
      </c>
    </row>
    <row r="37" spans="1:48" x14ac:dyDescent="0.35">
      <c r="A37" t="s">
        <v>57</v>
      </c>
      <c r="H37" t="s">
        <v>88</v>
      </c>
      <c r="I37" s="39">
        <v>12</v>
      </c>
      <c r="J37" s="37">
        <f t="shared" si="4"/>
        <v>0.56082628405851287</v>
      </c>
      <c r="K37" s="38">
        <f t="shared" si="5"/>
        <v>550000</v>
      </c>
    </row>
    <row r="38" spans="1:48" x14ac:dyDescent="0.35">
      <c r="A38" t="s">
        <v>58</v>
      </c>
      <c r="I38" s="39">
        <f>SUM(I34:I37)</f>
        <v>21.396999999999998</v>
      </c>
      <c r="J38" s="37">
        <f>SUM(J34:J37)</f>
        <v>1</v>
      </c>
      <c r="K38" s="38">
        <v>975000</v>
      </c>
    </row>
    <row r="41" spans="1:48" ht="29" x14ac:dyDescent="0.35">
      <c r="A41" s="46" t="s">
        <v>90</v>
      </c>
      <c r="C41" s="31">
        <f>SUM(C8:C22)+C28</f>
        <v>169481</v>
      </c>
    </row>
    <row r="43" spans="1:48" x14ac:dyDescent="0.35">
      <c r="A43" t="s">
        <v>91</v>
      </c>
      <c r="C43" s="31">
        <f>SUM(C23+C24+C26+C27)</f>
        <v>58176</v>
      </c>
    </row>
    <row r="45" spans="1:48" x14ac:dyDescent="0.35">
      <c r="A45" t="s">
        <v>52</v>
      </c>
      <c r="C45" s="31">
        <f>C7+C25</f>
        <v>46465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zoomScaleNormal="100" workbookViewId="0">
      <pane xSplit="3" topLeftCell="J1" activePane="topRight" state="frozen"/>
      <selection activeCell="A4" sqref="A4"/>
      <selection pane="topRight" activeCell="AI5" sqref="AI5"/>
    </sheetView>
  </sheetViews>
  <sheetFormatPr baseColWidth="10" defaultColWidth="11.453125" defaultRowHeight="14.5" x14ac:dyDescent="0.35"/>
  <cols>
    <col min="1" max="1" width="13.81640625" customWidth="1"/>
    <col min="2" max="2" width="9.1796875" bestFit="1" customWidth="1"/>
    <col min="3" max="3" width="8.81640625" bestFit="1" customWidth="1"/>
    <col min="4" max="4" width="8.81640625" customWidth="1"/>
    <col min="5" max="5" width="11.26953125" bestFit="1" customWidth="1"/>
    <col min="6" max="6" width="12.26953125" customWidth="1"/>
    <col min="7" max="10" width="14.81640625" bestFit="1" customWidth="1"/>
    <col min="11" max="11" width="15.81640625" bestFit="1" customWidth="1"/>
    <col min="12" max="14" width="14.81640625" bestFit="1" customWidth="1"/>
    <col min="15" max="15" width="13.453125" bestFit="1" customWidth="1"/>
    <col min="16" max="16" width="14.81640625" bestFit="1" customWidth="1"/>
    <col min="17" max="20" width="13.453125" bestFit="1" customWidth="1"/>
    <col min="21" max="21" width="14.81640625" bestFit="1" customWidth="1"/>
    <col min="22" max="24" width="13.453125" bestFit="1" customWidth="1"/>
    <col min="25" max="25" width="11.453125" bestFit="1" customWidth="1"/>
    <col min="26" max="26" width="13.453125" bestFit="1" customWidth="1"/>
    <col min="27" max="29" width="14.81640625" bestFit="1" customWidth="1"/>
    <col min="30" max="31" width="13.453125" bestFit="1" customWidth="1"/>
    <col min="32" max="32" width="14.81640625" bestFit="1" customWidth="1"/>
    <col min="33" max="33" width="15.1796875" bestFit="1" customWidth="1"/>
    <col min="34" max="34" width="13.453125" bestFit="1" customWidth="1"/>
    <col min="35" max="35" width="14.81640625" bestFit="1" customWidth="1"/>
    <col min="36" max="36" width="13.453125" bestFit="1" customWidth="1"/>
    <col min="37" max="38" width="14.81640625" bestFit="1" customWidth="1"/>
    <col min="39" max="39" width="13.453125" bestFit="1" customWidth="1"/>
    <col min="40" max="40" width="14.81640625" bestFit="1" customWidth="1"/>
    <col min="41" max="41" width="13.453125" bestFit="1" customWidth="1"/>
    <col min="42" max="42" width="12.453125" bestFit="1" customWidth="1"/>
    <col min="43" max="44" width="13.453125" bestFit="1" customWidth="1"/>
    <col min="45" max="45" width="11.26953125" bestFit="1" customWidth="1"/>
    <col min="46" max="46" width="14.81640625" bestFit="1" customWidth="1"/>
    <col min="47" max="47" width="13.81640625" bestFit="1" customWidth="1"/>
  </cols>
  <sheetData>
    <row r="1" spans="1:48" ht="23.5" x14ac:dyDescent="0.55000000000000004">
      <c r="A1" s="1" t="s">
        <v>0</v>
      </c>
      <c r="B1" s="1"/>
      <c r="C1" s="1"/>
      <c r="D1" s="1"/>
      <c r="E1" s="1"/>
      <c r="F1" s="1"/>
    </row>
    <row r="2" spans="1:48" x14ac:dyDescent="0.35">
      <c r="A2" t="s">
        <v>49</v>
      </c>
      <c r="B2" s="2">
        <v>43500</v>
      </c>
    </row>
    <row r="4" spans="1:48" ht="29" x14ac:dyDescent="0.35">
      <c r="A4" s="8" t="s">
        <v>1</v>
      </c>
      <c r="B4" s="9" t="s">
        <v>50</v>
      </c>
      <c r="C4" s="9" t="s">
        <v>51</v>
      </c>
      <c r="D4" s="9" t="s">
        <v>89</v>
      </c>
      <c r="E4" s="9" t="s">
        <v>99</v>
      </c>
      <c r="F4" s="9" t="s">
        <v>94</v>
      </c>
      <c r="G4" s="9" t="s">
        <v>45</v>
      </c>
      <c r="H4" s="8" t="s">
        <v>33</v>
      </c>
      <c r="I4" s="9" t="s">
        <v>19</v>
      </c>
      <c r="J4" s="8" t="s">
        <v>14</v>
      </c>
      <c r="K4" s="8" t="s">
        <v>17</v>
      </c>
      <c r="L4" s="8" t="s">
        <v>18</v>
      </c>
      <c r="M4" s="8" t="s">
        <v>4</v>
      </c>
      <c r="N4" s="8" t="s">
        <v>38</v>
      </c>
      <c r="O4" s="8" t="s">
        <v>39</v>
      </c>
      <c r="P4" s="8" t="s">
        <v>3</v>
      </c>
      <c r="Q4" s="8" t="s">
        <v>35</v>
      </c>
      <c r="R4" s="8" t="s">
        <v>36</v>
      </c>
      <c r="S4" s="9" t="s">
        <v>46</v>
      </c>
      <c r="T4" s="9" t="s">
        <v>47</v>
      </c>
      <c r="U4" s="9" t="s">
        <v>77</v>
      </c>
      <c r="V4" s="8" t="s">
        <v>34</v>
      </c>
      <c r="W4" s="8" t="s">
        <v>6</v>
      </c>
      <c r="X4" s="8" t="s">
        <v>5</v>
      </c>
      <c r="Y4" s="8" t="s">
        <v>68</v>
      </c>
      <c r="Z4" s="8" t="s">
        <v>69</v>
      </c>
      <c r="AA4" s="8" t="s">
        <v>74</v>
      </c>
      <c r="AB4" s="8" t="s">
        <v>75</v>
      </c>
      <c r="AC4" s="8" t="s">
        <v>67</v>
      </c>
      <c r="AD4" s="8" t="s">
        <v>76</v>
      </c>
      <c r="AE4" s="8" t="s">
        <v>70</v>
      </c>
      <c r="AF4" s="8" t="s">
        <v>32</v>
      </c>
      <c r="AG4" s="9" t="s">
        <v>44</v>
      </c>
      <c r="AH4" s="9" t="s">
        <v>101</v>
      </c>
      <c r="AI4" s="8" t="s">
        <v>10</v>
      </c>
      <c r="AJ4" s="8" t="s">
        <v>11</v>
      </c>
      <c r="AK4" s="8" t="s">
        <v>12</v>
      </c>
      <c r="AL4" s="8" t="s">
        <v>13</v>
      </c>
      <c r="AM4" s="8" t="s">
        <v>78</v>
      </c>
      <c r="AN4" s="8" t="s">
        <v>9</v>
      </c>
      <c r="AO4" s="9" t="s">
        <v>72</v>
      </c>
      <c r="AP4" s="8" t="s">
        <v>37</v>
      </c>
      <c r="AQ4" s="9" t="s">
        <v>40</v>
      </c>
      <c r="AR4" s="9" t="s">
        <v>73</v>
      </c>
      <c r="AS4" s="8" t="s">
        <v>42</v>
      </c>
      <c r="AT4" s="9" t="s">
        <v>43</v>
      </c>
      <c r="AU4" s="26" t="s">
        <v>65</v>
      </c>
      <c r="AV4" s="27" t="s">
        <v>66</v>
      </c>
    </row>
    <row r="5" spans="1:48" x14ac:dyDescent="0.35">
      <c r="A5" s="10" t="s">
        <v>59</v>
      </c>
      <c r="B5" s="10"/>
      <c r="C5" s="18"/>
      <c r="D5" s="18"/>
      <c r="E5" s="18">
        <v>21100000</v>
      </c>
      <c r="F5" s="18">
        <v>2750000</v>
      </c>
      <c r="G5" s="18">
        <v>1100000</v>
      </c>
      <c r="H5" s="18">
        <v>3900000</v>
      </c>
      <c r="I5" s="18">
        <v>2900000</v>
      </c>
      <c r="J5" s="18">
        <f>5000000*0.54</f>
        <v>2700000</v>
      </c>
      <c r="K5" s="18">
        <v>8300000</v>
      </c>
      <c r="L5" s="18">
        <v>910000</v>
      </c>
      <c r="M5" s="18">
        <v>3670000</v>
      </c>
      <c r="N5" s="18">
        <v>3200000</v>
      </c>
      <c r="O5" s="18">
        <v>300000</v>
      </c>
      <c r="P5" s="18">
        <v>2230000</v>
      </c>
      <c r="Q5" s="18">
        <v>660000</v>
      </c>
      <c r="R5" s="18">
        <v>670000</v>
      </c>
      <c r="S5" s="18">
        <v>350000</v>
      </c>
      <c r="T5" s="18">
        <v>250000</v>
      </c>
      <c r="U5" s="18">
        <v>10800000</v>
      </c>
      <c r="V5" s="18">
        <v>350000</v>
      </c>
      <c r="W5" s="18">
        <v>480000</v>
      </c>
      <c r="X5" s="18">
        <v>200000</v>
      </c>
      <c r="Y5" s="18">
        <v>2000000</v>
      </c>
      <c r="Z5" s="18">
        <v>860000</v>
      </c>
      <c r="AA5" s="18">
        <v>2000000</v>
      </c>
      <c r="AB5" s="18">
        <v>1800000</v>
      </c>
      <c r="AC5" s="18">
        <v>2150000</v>
      </c>
      <c r="AD5" s="18">
        <v>130000</v>
      </c>
      <c r="AE5" s="18">
        <v>560000</v>
      </c>
      <c r="AF5" s="18">
        <v>6000000</v>
      </c>
      <c r="AG5" s="18">
        <v>600000</v>
      </c>
      <c r="AH5" s="18">
        <v>460000</v>
      </c>
      <c r="AI5" s="18">
        <f>1450000*0.54</f>
        <v>783000</v>
      </c>
      <c r="AJ5" s="18">
        <f>430000*0.54</f>
        <v>232200.00000000003</v>
      </c>
      <c r="AK5" s="18">
        <f>1300000*0.54</f>
        <v>702000</v>
      </c>
      <c r="AL5" s="18">
        <f>4800000*0.54</f>
        <v>2592000</v>
      </c>
      <c r="AM5" s="18">
        <v>650000</v>
      </c>
      <c r="AN5" s="18">
        <v>1830000</v>
      </c>
      <c r="AO5" s="18">
        <v>450000</v>
      </c>
      <c r="AP5" s="18">
        <v>65000</v>
      </c>
      <c r="AQ5" s="18">
        <v>320000</v>
      </c>
      <c r="AR5" s="18">
        <v>325000</v>
      </c>
      <c r="AS5" s="18">
        <v>60000000</v>
      </c>
      <c r="AT5" s="18">
        <v>3900000</v>
      </c>
      <c r="AU5" s="28">
        <f>SUM(E5:AT5)-60000000</f>
        <v>95229200</v>
      </c>
      <c r="AV5" s="29"/>
    </row>
    <row r="6" spans="1:48" s="3" customFormat="1" hidden="1" x14ac:dyDescent="0.35">
      <c r="A6" s="10" t="s">
        <v>61</v>
      </c>
      <c r="B6" s="10"/>
      <c r="C6" s="18"/>
      <c r="D6" s="18"/>
      <c r="E6" s="18"/>
      <c r="F6" s="18"/>
      <c r="G6" s="19"/>
      <c r="H6" s="18"/>
      <c r="I6" s="19"/>
      <c r="J6" s="18"/>
      <c r="K6" s="18"/>
      <c r="L6" s="18"/>
      <c r="M6" s="18"/>
      <c r="N6" s="18"/>
      <c r="O6" s="18"/>
      <c r="P6" s="18"/>
      <c r="Q6" s="18"/>
      <c r="R6" s="18"/>
      <c r="S6" s="19"/>
      <c r="T6" s="19"/>
      <c r="U6" s="1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/>
      <c r="AH6" s="18"/>
      <c r="AI6" s="18"/>
      <c r="AJ6" s="18"/>
      <c r="AK6" s="18"/>
      <c r="AL6" s="18"/>
      <c r="AM6" s="18"/>
      <c r="AN6" s="18"/>
      <c r="AO6" s="19"/>
      <c r="AP6" s="18"/>
      <c r="AQ6" s="19"/>
      <c r="AR6" s="19"/>
      <c r="AS6" s="18"/>
      <c r="AT6" s="19"/>
      <c r="AU6" s="28">
        <f t="shared" ref="AU6:AU28" si="0">SUM(E6:AT6)</f>
        <v>0</v>
      </c>
      <c r="AV6" s="29"/>
    </row>
    <row r="7" spans="1:48" x14ac:dyDescent="0.35">
      <c r="A7" s="8" t="s">
        <v>2</v>
      </c>
      <c r="B7" s="11" t="s">
        <v>52</v>
      </c>
      <c r="C7" s="20">
        <v>22877</v>
      </c>
      <c r="D7" s="20">
        <v>9565</v>
      </c>
      <c r="E7" s="33">
        <f t="shared" ref="E7:E22" si="1">C7/(C$29-C$24)*E$5</f>
        <v>2057371.8577115531</v>
      </c>
      <c r="F7" s="33"/>
      <c r="G7" s="21"/>
      <c r="H7" s="21"/>
      <c r="I7" s="21"/>
      <c r="J7" s="21">
        <f>C7/(C7+C15+C16+C12)*J5</f>
        <v>1308475.6175062493</v>
      </c>
      <c r="K7" s="21"/>
      <c r="L7" s="21"/>
      <c r="M7" s="21">
        <f>C7/(C7+C12+C15+C16+C18+C19+C20)*(M5+M6)</f>
        <v>1045001.9292284331</v>
      </c>
      <c r="N7" s="21"/>
      <c r="O7" s="21"/>
      <c r="P7" s="21">
        <f>C7/(C7+C17+C28)*(P5+P6)</f>
        <v>1379735.2265043948</v>
      </c>
      <c r="Q7" s="21"/>
      <c r="R7" s="21"/>
      <c r="S7" s="21"/>
      <c r="T7" s="21"/>
      <c r="U7" s="21"/>
      <c r="V7" s="8"/>
      <c r="W7" s="43">
        <f>C7/(C7+C12+C15)*W5</f>
        <v>319241.7943425299</v>
      </c>
      <c r="X7" s="8">
        <f>X5</f>
        <v>200000</v>
      </c>
      <c r="Y7" s="8"/>
      <c r="Z7" s="8"/>
      <c r="AA7" s="8"/>
      <c r="AB7" s="8"/>
      <c r="AC7" s="43">
        <f>C7/(C7+C16+C19)*AC5</f>
        <v>950886.4014228821</v>
      </c>
      <c r="AD7" s="8"/>
      <c r="AE7" s="8"/>
      <c r="AF7" s="8"/>
      <c r="AG7" s="8"/>
      <c r="AH7" s="8">
        <f>AH5</f>
        <v>460000</v>
      </c>
      <c r="AI7" s="43">
        <f>C7/(C7+C12+C13+C14+C15+C16+C18+C20)*AI5</f>
        <v>265506.936827439</v>
      </c>
      <c r="AJ7" s="43">
        <f>C7/(C7+C12+C13+C14+C15+C16+C18+C19+C20)*AJ5</f>
        <v>63612.667353244084</v>
      </c>
      <c r="AK7" s="43">
        <f>C7/(C7+C12+C15+C16+C19)*AK5</f>
        <v>253923.63153401006</v>
      </c>
      <c r="AL7" s="43">
        <f>C7/(C7+C12+C15+C16)*AL5</f>
        <v>1256136.5928059993</v>
      </c>
      <c r="AM7" s="8"/>
      <c r="AN7" s="8">
        <f>AN5</f>
        <v>1830000</v>
      </c>
      <c r="AO7" s="8"/>
      <c r="AP7" s="8"/>
      <c r="AQ7" s="8"/>
      <c r="AR7" s="8"/>
      <c r="AS7" s="8"/>
      <c r="AT7" s="21">
        <f>C7/(C7+C9)*AT5</f>
        <v>2889539.1391650746</v>
      </c>
      <c r="AU7" s="28">
        <f t="shared" si="0"/>
        <v>14279431.79440181</v>
      </c>
      <c r="AV7" s="30">
        <f t="shared" ref="AV7:AV28" si="2">AU7/C7</f>
        <v>624.18288212623202</v>
      </c>
    </row>
    <row r="8" spans="1:48" s="5" customFormat="1" x14ac:dyDescent="0.35">
      <c r="A8" s="12" t="s">
        <v>16</v>
      </c>
      <c r="B8" s="12" t="s">
        <v>53</v>
      </c>
      <c r="C8" s="20">
        <v>29798</v>
      </c>
      <c r="D8" s="20">
        <v>4120</v>
      </c>
      <c r="E8" s="33">
        <f t="shared" si="1"/>
        <v>2679790.471481788</v>
      </c>
      <c r="F8" s="33"/>
      <c r="G8" s="16"/>
      <c r="H8" s="16"/>
      <c r="I8" s="16">
        <f>C8/(C$8+C$17+C$27+C11+C9)*I$5</f>
        <v>1056938.0740958182</v>
      </c>
      <c r="J8" s="16"/>
      <c r="K8" s="16">
        <f>C8/(C$8+C$11+C$12+C$13+C$15+C$14+C$16+C$17+C$18+C$23+C$26+C$27+C$28)*(K$5+K$6)</f>
        <v>2180270.9874203303</v>
      </c>
      <c r="L8" s="16">
        <f>C8/(C8+C11+C17+C28+C9)*(L5+L6)</f>
        <v>367169.20327140769</v>
      </c>
      <c r="M8" s="16"/>
      <c r="N8" s="16"/>
      <c r="O8" s="16"/>
      <c r="P8" s="16"/>
      <c r="Q8" s="16"/>
      <c r="R8" s="16"/>
      <c r="S8" s="16"/>
      <c r="T8" s="16"/>
      <c r="U8" s="16"/>
      <c r="V8" s="12"/>
      <c r="W8" s="12"/>
      <c r="X8" s="12"/>
      <c r="Y8" s="16">
        <f>C8/(C8+C17+C28)*Y5</f>
        <v>1357663.5684344815</v>
      </c>
      <c r="Z8" s="40">
        <f>C8/(C8+C17+C28)*Z5</f>
        <v>583795.33442682703</v>
      </c>
      <c r="AA8" s="12"/>
      <c r="AB8" s="12"/>
      <c r="AC8" s="12"/>
      <c r="AD8" s="12"/>
      <c r="AE8" s="40">
        <f>C8/(C8+C17+C28+C9)*AE5</f>
        <v>321544.62771697238</v>
      </c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 t="s">
        <v>15</v>
      </c>
      <c r="AT8" s="12"/>
      <c r="AU8" s="28">
        <f t="shared" si="0"/>
        <v>8547172.2668476235</v>
      </c>
      <c r="AV8" s="30">
        <f t="shared" si="2"/>
        <v>286.83711211650524</v>
      </c>
    </row>
    <row r="9" spans="1:48" s="5" customFormat="1" x14ac:dyDescent="0.35">
      <c r="A9" s="12" t="s">
        <v>92</v>
      </c>
      <c r="B9" s="12" t="s">
        <v>53</v>
      </c>
      <c r="C9" s="20">
        <v>8000</v>
      </c>
      <c r="D9" s="20">
        <v>8000</v>
      </c>
      <c r="E9" s="33">
        <f t="shared" si="1"/>
        <v>719455.12356045051</v>
      </c>
      <c r="F9" s="33"/>
      <c r="G9" s="16"/>
      <c r="H9" s="16"/>
      <c r="I9" s="16">
        <f>C9/(C$8+C$17+C$27+C11+C9)*I$5</f>
        <v>283760.80920754903</v>
      </c>
      <c r="J9" s="16"/>
      <c r="K9" s="16"/>
      <c r="L9" s="16">
        <f>C9/(C8+C11+C17+C28+C9)*(L5+L6)</f>
        <v>98575.529437252888</v>
      </c>
      <c r="M9" s="16"/>
      <c r="N9" s="16"/>
      <c r="O9" s="16"/>
      <c r="P9" s="16"/>
      <c r="Q9" s="16"/>
      <c r="R9" s="16"/>
      <c r="S9" s="16"/>
      <c r="T9" s="16"/>
      <c r="U9" s="16"/>
      <c r="V9" s="12"/>
      <c r="W9" s="12"/>
      <c r="X9" s="12"/>
      <c r="Y9" s="16"/>
      <c r="Z9" s="40"/>
      <c r="AA9" s="12"/>
      <c r="AB9" s="12"/>
      <c r="AC9" s="12"/>
      <c r="AD9" s="12"/>
      <c r="AE9" s="40">
        <f>C9/(C8+C17+C28+C9)*AE5</f>
        <v>86326.499152150456</v>
      </c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6">
        <f>C9/(C7+C9)*AT5</f>
        <v>1010460.8608349257</v>
      </c>
      <c r="AU9" s="28">
        <f t="shared" si="0"/>
        <v>2198578.8221923285</v>
      </c>
      <c r="AV9" s="30">
        <f t="shared" si="2"/>
        <v>274.82235277404106</v>
      </c>
    </row>
    <row r="10" spans="1:48" s="5" customFormat="1" x14ac:dyDescent="0.35">
      <c r="A10" s="12" t="s">
        <v>71</v>
      </c>
      <c r="B10" s="12" t="s">
        <v>53</v>
      </c>
      <c r="C10" s="20">
        <v>25000</v>
      </c>
      <c r="D10" s="20"/>
      <c r="E10" s="33">
        <f t="shared" si="1"/>
        <v>2248297.2611264079</v>
      </c>
      <c r="F10" s="33">
        <f>C10/(C10+C22)*F5</f>
        <v>1992753.6231884058</v>
      </c>
      <c r="G10" s="16"/>
      <c r="H10" s="16">
        <f>C10/(C10+C22+C25)*H5</f>
        <v>1678487.8115961989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2"/>
      <c r="W10" s="12"/>
      <c r="X10" s="12"/>
      <c r="Y10" s="16"/>
      <c r="Z10" s="12"/>
      <c r="AA10" s="12"/>
      <c r="AB10" s="12"/>
      <c r="AC10" s="12"/>
      <c r="AD10" s="12"/>
      <c r="AE10" s="12"/>
      <c r="AF10" s="12">
        <f>AF5</f>
        <v>6000000</v>
      </c>
      <c r="AG10" s="12"/>
      <c r="AH10" s="12"/>
      <c r="AI10" s="12"/>
      <c r="AJ10" s="12"/>
      <c r="AK10" s="12"/>
      <c r="AL10" s="12"/>
      <c r="AM10" s="12"/>
      <c r="AN10" s="12"/>
      <c r="AO10" s="40">
        <f>C10/(C10+C22)*AO5</f>
        <v>326086.95652173914</v>
      </c>
      <c r="AP10" s="12"/>
      <c r="AQ10" s="12"/>
      <c r="AR10" s="12">
        <f>AR5</f>
        <v>325000</v>
      </c>
      <c r="AS10" s="12"/>
      <c r="AT10" s="12"/>
      <c r="AU10" s="28">
        <f t="shared" si="0"/>
        <v>12570625.652432751</v>
      </c>
      <c r="AV10" s="30">
        <f t="shared" si="2"/>
        <v>502.82502609731006</v>
      </c>
    </row>
    <row r="11" spans="1:48" s="5" customFormat="1" x14ac:dyDescent="0.35">
      <c r="A11" s="12" t="s">
        <v>20</v>
      </c>
      <c r="B11" s="12" t="s">
        <v>53</v>
      </c>
      <c r="C11" s="20">
        <v>21956</v>
      </c>
      <c r="D11" s="20">
        <v>2000</v>
      </c>
      <c r="E11" s="33">
        <f t="shared" si="1"/>
        <v>1974544.5866116562</v>
      </c>
      <c r="F11" s="33"/>
      <c r="G11" s="16"/>
      <c r="H11" s="16"/>
      <c r="I11" s="16">
        <f>C11/(C$8+C$17+C$27+C11+C9)*I$5</f>
        <v>778781.5408701183</v>
      </c>
      <c r="J11" s="16"/>
      <c r="K11" s="16">
        <f t="shared" ref="K11:K18" si="3">C11/(C$8+C$11+C$12+C$13+C$15+C$14+C$16+C$17+C$18+C$23+C$26+C$27+C$28)*(K$5+K$6)</f>
        <v>1606484.6566816824</v>
      </c>
      <c r="L11" s="16">
        <f>C11/(C8+C11+C17+C28+C9)*(L5+L6)</f>
        <v>270540.54054054053</v>
      </c>
      <c r="M11" s="16"/>
      <c r="N11" s="16"/>
      <c r="O11" s="16"/>
      <c r="P11" s="16"/>
      <c r="Q11" s="16"/>
      <c r="R11" s="16"/>
      <c r="S11" s="16"/>
      <c r="T11" s="16"/>
      <c r="U11" s="16"/>
      <c r="V11" s="12"/>
      <c r="W11" s="12"/>
      <c r="X11" s="12"/>
      <c r="Y11" s="16"/>
      <c r="Z11" s="12"/>
      <c r="AA11" s="40">
        <f>C11/(C11+C12+C15+C16)*AA5</f>
        <v>948730.69028843043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28">
        <f t="shared" si="0"/>
        <v>5579082.0149924271</v>
      </c>
      <c r="AV11" s="30">
        <f t="shared" si="2"/>
        <v>254.10284273057147</v>
      </c>
    </row>
    <row r="12" spans="1:48" s="5" customFormat="1" x14ac:dyDescent="0.35">
      <c r="A12" s="12" t="s">
        <v>79</v>
      </c>
      <c r="B12" s="12" t="s">
        <v>53</v>
      </c>
      <c r="C12" s="20">
        <v>7400</v>
      </c>
      <c r="D12" s="20">
        <v>7400</v>
      </c>
      <c r="E12" s="33">
        <f t="shared" si="1"/>
        <v>665495.98929341661</v>
      </c>
      <c r="F12" s="33"/>
      <c r="G12" s="16"/>
      <c r="H12" s="16"/>
      <c r="I12" s="16"/>
      <c r="J12" s="16">
        <f>C12/(C7+C12+C15+C16)*J5</f>
        <v>423251.28161674365</v>
      </c>
      <c r="K12" s="16">
        <f t="shared" si="3"/>
        <v>541445.9127092571</v>
      </c>
      <c r="L12" s="16"/>
      <c r="M12" s="16">
        <f>C12/(C7+C12+C15+C16+C18+C19+C20)*(M5+M6)</f>
        <v>338025.7147480179</v>
      </c>
      <c r="N12" s="16"/>
      <c r="O12" s="16"/>
      <c r="P12" s="16"/>
      <c r="Q12" s="16"/>
      <c r="R12" s="16"/>
      <c r="S12" s="16"/>
      <c r="T12" s="16"/>
      <c r="U12" s="16"/>
      <c r="V12" s="12"/>
      <c r="W12" s="43">
        <f>C12/(C7+C12+C15)*W5</f>
        <v>103264.81960636102</v>
      </c>
      <c r="X12" s="12"/>
      <c r="Y12" s="16"/>
      <c r="Z12" s="12"/>
      <c r="AA12" s="40">
        <f>C12/(C11+C12+C15+C16)*AA5</f>
        <v>319758.02095711353</v>
      </c>
      <c r="AB12" s="12"/>
      <c r="AC12" s="12"/>
      <c r="AD12" s="12"/>
      <c r="AE12" s="12"/>
      <c r="AF12" s="12"/>
      <c r="AG12" s="12"/>
      <c r="AH12" s="12"/>
      <c r="AI12" s="40">
        <f>C12/(C7+C12+C13+C14+C15+C16+C18+C20)*AI5</f>
        <v>85883.259716005094</v>
      </c>
      <c r="AJ12" s="40">
        <f>C12/(C7+C12+C13+C14+C15+C16+C18+C19+C20)*AJ5</f>
        <v>20576.725025746655</v>
      </c>
      <c r="AK12" s="40">
        <f>C12/(C7+C12+C15+C16+C19)*AK5</f>
        <v>82136.419694526136</v>
      </c>
      <c r="AL12" s="40">
        <f>C12/(C7+C12+C15+C16)*AL5</f>
        <v>406321.23035207391</v>
      </c>
      <c r="AM12" s="12"/>
      <c r="AN12" s="12"/>
      <c r="AO12" s="12"/>
      <c r="AP12" s="12"/>
      <c r="AQ12" s="12"/>
      <c r="AR12" s="12"/>
      <c r="AS12" s="12"/>
      <c r="AT12" s="12"/>
      <c r="AU12" s="28">
        <f t="shared" si="0"/>
        <v>2986159.3737192615</v>
      </c>
      <c r="AV12" s="30">
        <f t="shared" si="2"/>
        <v>403.53505050260293</v>
      </c>
    </row>
    <row r="13" spans="1:48" s="5" customFormat="1" x14ac:dyDescent="0.35">
      <c r="A13" s="12" t="s">
        <v>81</v>
      </c>
      <c r="B13" s="12" t="s">
        <v>52</v>
      </c>
      <c r="C13" s="20">
        <v>2065</v>
      </c>
      <c r="D13" s="20">
        <v>0</v>
      </c>
      <c r="E13" s="33">
        <f t="shared" si="1"/>
        <v>185709.35376904128</v>
      </c>
      <c r="F13" s="33"/>
      <c r="G13" s="16"/>
      <c r="H13" s="16"/>
      <c r="I13" s="16"/>
      <c r="J13" s="16"/>
      <c r="K13" s="16">
        <f t="shared" si="3"/>
        <v>151092.67699251568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40">
        <f>C13/(C13+C14)*V5</f>
        <v>228501.42269996839</v>
      </c>
      <c r="W13" s="12"/>
      <c r="X13" s="12"/>
      <c r="Y13" s="16"/>
      <c r="Z13" s="12"/>
      <c r="AA13" s="12"/>
      <c r="AB13" s="40">
        <f>C13/(C13+C14+C16+C18+C23+C26)*AB5</f>
        <v>139957.82814971008</v>
      </c>
      <c r="AC13" s="12"/>
      <c r="AD13" s="12"/>
      <c r="AE13" s="12"/>
      <c r="AF13" s="12"/>
      <c r="AG13" s="12"/>
      <c r="AH13" s="12"/>
      <c r="AI13" s="40">
        <f>C13/(C7+C12+C13+C14+C15+C16+C18+C20)*AI5</f>
        <v>23966.071799128451</v>
      </c>
      <c r="AJ13" s="40">
        <f>C13/(C7+C12+C13+C14+C15+C16+C18+C19+C20)*AJ5</f>
        <v>5742.0185375901137</v>
      </c>
      <c r="AK13" s="12"/>
      <c r="AL13" s="12"/>
      <c r="AM13" s="12"/>
      <c r="AN13" s="12"/>
      <c r="AO13" s="12"/>
      <c r="AP13" s="40">
        <f>C13/(C13+C14+C18+C19+C20)*AP5</f>
        <v>3697.6584022038569</v>
      </c>
      <c r="AQ13" s="12"/>
      <c r="AR13" s="12"/>
      <c r="AS13" s="12"/>
      <c r="AT13" s="12"/>
      <c r="AU13" s="28">
        <f t="shared" si="0"/>
        <v>738667.03035015776</v>
      </c>
      <c r="AV13" s="30">
        <f t="shared" si="2"/>
        <v>357.70800501218292</v>
      </c>
    </row>
    <row r="14" spans="1:48" s="5" customFormat="1" x14ac:dyDescent="0.35">
      <c r="A14" s="12" t="s">
        <v>82</v>
      </c>
      <c r="B14" s="12" t="s">
        <v>53</v>
      </c>
      <c r="C14" s="20">
        <v>1098</v>
      </c>
      <c r="D14" s="20">
        <v>0</v>
      </c>
      <c r="E14" s="33">
        <f t="shared" si="1"/>
        <v>98745.215708671822</v>
      </c>
      <c r="F14" s="33"/>
      <c r="G14" s="16"/>
      <c r="H14" s="16"/>
      <c r="I14" s="16"/>
      <c r="J14" s="16"/>
      <c r="K14" s="16">
        <f t="shared" si="3"/>
        <v>80338.866507400584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40">
        <f>C14/(C14+C13)*V5</f>
        <v>121498.57730003163</v>
      </c>
      <c r="W14" s="12"/>
      <c r="X14" s="12"/>
      <c r="Y14" s="16"/>
      <c r="Z14" s="12"/>
      <c r="AA14" s="12"/>
      <c r="AB14" s="40">
        <f>C14/(C13+C14+C16+C18+C23+C26)*AB5</f>
        <v>74418.2543866255</v>
      </c>
      <c r="AC14" s="12"/>
      <c r="AD14" s="12"/>
      <c r="AE14" s="12"/>
      <c r="AF14" s="12"/>
      <c r="AG14" s="12"/>
      <c r="AH14" s="12"/>
      <c r="AI14" s="40">
        <f>C14/(C7+C12+C13+C14+C15+C16+C18+C20)*AI5</f>
        <v>12743.218806509947</v>
      </c>
      <c r="AJ14" s="40">
        <f>C14/(C7+C12+C13+C14+C15+C16+C18+C19+C20)*AJ5</f>
        <v>3053.1410916580849</v>
      </c>
      <c r="AK14" s="12"/>
      <c r="AL14" s="12"/>
      <c r="AM14" s="12"/>
      <c r="AN14" s="12"/>
      <c r="AO14" s="12"/>
      <c r="AP14" s="40">
        <f>C14/(C13+C14+C18+C19+C20)*AP5</f>
        <v>1966.115702479339</v>
      </c>
      <c r="AQ14" s="12"/>
      <c r="AR14" s="12"/>
      <c r="AS14" s="12"/>
      <c r="AT14" s="12"/>
      <c r="AU14" s="28">
        <f t="shared" si="0"/>
        <v>392763.38950337691</v>
      </c>
      <c r="AV14" s="30">
        <f t="shared" si="2"/>
        <v>357.70800501218298</v>
      </c>
    </row>
    <row r="15" spans="1:48" s="5" customFormat="1" x14ac:dyDescent="0.35">
      <c r="A15" s="12" t="s">
        <v>80</v>
      </c>
      <c r="B15" s="12" t="s">
        <v>53</v>
      </c>
      <c r="C15" s="20">
        <v>4120</v>
      </c>
      <c r="D15" s="20">
        <v>4120</v>
      </c>
      <c r="E15" s="33">
        <f t="shared" si="1"/>
        <v>370519.38863363193</v>
      </c>
      <c r="F15" s="33"/>
      <c r="G15" s="16"/>
      <c r="H15" s="16"/>
      <c r="I15" s="16"/>
      <c r="J15" s="16">
        <f>C15/(C7+C15+C12+C16)*J5</f>
        <v>235648.01084607889</v>
      </c>
      <c r="K15" s="16">
        <f t="shared" si="3"/>
        <v>301453.670319208</v>
      </c>
      <c r="L15" s="16"/>
      <c r="M15" s="16">
        <f>C15/(C7+C12+C15+C16+C18+C19+C20)*(M5+M6)</f>
        <v>188198.10064349102</v>
      </c>
      <c r="N15" s="16"/>
      <c r="O15" s="16"/>
      <c r="P15" s="16"/>
      <c r="Q15" s="16"/>
      <c r="R15" s="16"/>
      <c r="S15" s="16"/>
      <c r="T15" s="16"/>
      <c r="U15" s="16"/>
      <c r="V15" s="12"/>
      <c r="W15" s="43">
        <f>C15/(C7+C12+C15)*W5</f>
        <v>57493.386051109112</v>
      </c>
      <c r="X15" s="12"/>
      <c r="Y15" s="16"/>
      <c r="Z15" s="12"/>
      <c r="AA15" s="40">
        <f>C15/(C11+C12+C15+C16)*AA5</f>
        <v>178027.43869504158</v>
      </c>
      <c r="AB15" s="12"/>
      <c r="AC15" s="12"/>
      <c r="AD15" s="12"/>
      <c r="AE15" s="12"/>
      <c r="AF15" s="12"/>
      <c r="AG15" s="12"/>
      <c r="AH15" s="12"/>
      <c r="AI15" s="40">
        <f>C15/(C7+C12+C13+C14+C15+C16+C18+C20)*AI5</f>
        <v>47816.085139181218</v>
      </c>
      <c r="AJ15" s="40">
        <f>C15/(C7+C12+C13+C14+C15+C16+C18+C19+C20)*AJ5</f>
        <v>11456.230690010301</v>
      </c>
      <c r="AK15" s="40">
        <f>C15/(C7+C12+C15+C16+C19)*AK5</f>
        <v>45730.006640736174</v>
      </c>
      <c r="AL15" s="40">
        <f>C15/(C7+C12+C15+C16)*AL5</f>
        <v>226222.09041223573</v>
      </c>
      <c r="AM15" s="12"/>
      <c r="AN15" s="12"/>
      <c r="AO15" s="12"/>
      <c r="AP15" s="12"/>
      <c r="AQ15" s="12"/>
      <c r="AR15" s="12"/>
      <c r="AS15" s="12"/>
      <c r="AT15" s="12"/>
      <c r="AU15" s="28">
        <f t="shared" si="0"/>
        <v>1662564.408070724</v>
      </c>
      <c r="AV15" s="30">
        <f t="shared" si="2"/>
        <v>403.53505050260293</v>
      </c>
    </row>
    <row r="16" spans="1:48" s="5" customFormat="1" x14ac:dyDescent="0.35">
      <c r="A16" s="12" t="s">
        <v>83</v>
      </c>
      <c r="B16" s="12" t="s">
        <v>53</v>
      </c>
      <c r="C16" s="20">
        <v>12809</v>
      </c>
      <c r="D16" s="20">
        <v>11699</v>
      </c>
      <c r="E16" s="33">
        <f t="shared" si="1"/>
        <v>1151937.5847107263</v>
      </c>
      <c r="F16" s="33"/>
      <c r="G16" s="16"/>
      <c r="H16" s="16"/>
      <c r="I16" s="16"/>
      <c r="J16" s="16">
        <f>C16/(C7+C16+C12+C15)*J5</f>
        <v>732625.09003092826</v>
      </c>
      <c r="K16" s="16">
        <f t="shared" si="3"/>
        <v>937213.60755309113</v>
      </c>
      <c r="L16" s="16"/>
      <c r="M16" s="16">
        <f>C16/(C7+C12+C15+C16+C18+C19+C20)*(M5+M6)</f>
        <v>585104.24056856229</v>
      </c>
      <c r="N16" s="16"/>
      <c r="O16" s="16"/>
      <c r="P16" s="16"/>
      <c r="Q16" s="16"/>
      <c r="R16" s="16"/>
      <c r="S16" s="16"/>
      <c r="T16" s="16"/>
      <c r="U16" s="16"/>
      <c r="V16" s="12"/>
      <c r="W16" s="12"/>
      <c r="X16" s="12"/>
      <c r="Y16" s="16"/>
      <c r="Z16" s="12"/>
      <c r="AA16" s="40">
        <f>C16/(C11+C12+C15+C16)*AA5</f>
        <v>553483.85005941452</v>
      </c>
      <c r="AB16" s="40">
        <f>C16/(C13+C14+C16+C18+C23+C26)*AB5</f>
        <v>868145.19165599823</v>
      </c>
      <c r="AC16" s="40">
        <f>C16/(C7+C16+C19)*AC5</f>
        <v>532408.26663573447</v>
      </c>
      <c r="AD16" s="40">
        <f>C16/(C16+C20)*AD5</f>
        <v>58449.577029730775</v>
      </c>
      <c r="AE16" s="12"/>
      <c r="AF16" s="12"/>
      <c r="AG16" s="12"/>
      <c r="AH16" s="12"/>
      <c r="AI16" s="40">
        <f>C16/(C7+C12+C13+C14+C15+C16+C18+C20)*AI5</f>
        <v>148659.2802300418</v>
      </c>
      <c r="AJ16" s="40">
        <f>C16/(C7+C12+C13+C14+C15+C16+C18+C19+C20)*AJ5</f>
        <v>35617.198764160661</v>
      </c>
      <c r="AK16" s="40">
        <f>C16/(C7+C12+C15+C16+C19)*AK5</f>
        <v>142173.70268475477</v>
      </c>
      <c r="AL16" s="40">
        <f>C16/(C7+C12+C15+C16)*AL5</f>
        <v>703320.08642969117</v>
      </c>
      <c r="AM16" s="12"/>
      <c r="AN16" s="12"/>
      <c r="AO16" s="12"/>
      <c r="AP16" s="12"/>
      <c r="AQ16" s="12"/>
      <c r="AR16" s="12"/>
      <c r="AS16" s="12"/>
      <c r="AT16" s="12"/>
      <c r="AU16" s="28">
        <f t="shared" si="0"/>
        <v>6449137.6763528334</v>
      </c>
      <c r="AV16" s="30">
        <f t="shared" si="2"/>
        <v>503.48486816713512</v>
      </c>
    </row>
    <row r="17" spans="1:48" s="5" customFormat="1" x14ac:dyDescent="0.35">
      <c r="A17" s="12" t="s">
        <v>21</v>
      </c>
      <c r="B17" s="12" t="s">
        <v>53</v>
      </c>
      <c r="C17" s="20">
        <v>12498</v>
      </c>
      <c r="D17" s="20">
        <v>12498</v>
      </c>
      <c r="E17" s="33">
        <f t="shared" si="1"/>
        <v>1123968.7667823136</v>
      </c>
      <c r="F17" s="33"/>
      <c r="G17" s="47">
        <f>C17/(C28+C17)*G5</f>
        <v>975159.59710597247</v>
      </c>
      <c r="H17" s="47"/>
      <c r="I17" s="47">
        <f>C17/(C$8+C$17+C$27+C11+C9)*I$5</f>
        <v>443305.32418449345</v>
      </c>
      <c r="J17" s="16"/>
      <c r="K17" s="16">
        <f t="shared" si="3"/>
        <v>914458.24554598588</v>
      </c>
      <c r="L17" s="16">
        <f>C17/(C8+C11+C17+C28+C9)*(L5+L6)</f>
        <v>153999.62086334833</v>
      </c>
      <c r="M17" s="16"/>
      <c r="N17" s="16"/>
      <c r="O17" s="16"/>
      <c r="P17" s="16">
        <f>C17/(C7+C17+C28)*(P5+P6)</f>
        <v>753767.13995943207</v>
      </c>
      <c r="Q17" s="16">
        <f>Q5+Q6</f>
        <v>660000</v>
      </c>
      <c r="R17" s="16">
        <f>R5+R6</f>
        <v>670000</v>
      </c>
      <c r="S17" s="16"/>
      <c r="T17" s="16"/>
      <c r="U17" s="16"/>
      <c r="V17" s="12"/>
      <c r="W17" s="12"/>
      <c r="X17" s="12"/>
      <c r="Y17" s="16">
        <f>C17/(C8+C17+C28)*Y5</f>
        <v>569436.85073810827</v>
      </c>
      <c r="Z17" s="40">
        <f>C17/(C8+C17+C28)*Z5</f>
        <v>244857.84581738655</v>
      </c>
      <c r="AA17" s="12"/>
      <c r="AB17" s="12"/>
      <c r="AC17" s="12"/>
      <c r="AD17" s="12"/>
      <c r="AE17" s="40">
        <f>C17/(C8+C17+C28+C9)*AE5</f>
        <v>134863.57330044705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28">
        <f t="shared" si="0"/>
        <v>6643816.9642974874</v>
      </c>
      <c r="AV17" s="30">
        <f t="shared" si="2"/>
        <v>531.59041160965648</v>
      </c>
    </row>
    <row r="18" spans="1:48" s="5" customFormat="1" x14ac:dyDescent="0.35">
      <c r="A18" s="12" t="s">
        <v>22</v>
      </c>
      <c r="B18" s="12" t="s">
        <v>53</v>
      </c>
      <c r="C18" s="20">
        <v>1417</v>
      </c>
      <c r="D18" s="20">
        <v>0</v>
      </c>
      <c r="E18" s="33">
        <f t="shared" si="1"/>
        <v>127433.48876064477</v>
      </c>
      <c r="F18" s="33"/>
      <c r="G18" s="16"/>
      <c r="H18" s="16"/>
      <c r="I18" s="16"/>
      <c r="J18" s="16"/>
      <c r="K18" s="16">
        <f t="shared" si="3"/>
        <v>103679.57544716451</v>
      </c>
      <c r="L18" s="16"/>
      <c r="M18" s="53">
        <f>C18/(C7+C12+C15+C16+C18+C19+C20)*(M5+M6)</f>
        <v>64727.356459181261</v>
      </c>
      <c r="N18" s="53"/>
      <c r="O18" s="16"/>
      <c r="P18" s="16"/>
      <c r="Q18" s="16"/>
      <c r="R18" s="16"/>
      <c r="S18" s="16"/>
      <c r="T18" s="16"/>
      <c r="U18" s="16"/>
      <c r="V18" s="12"/>
      <c r="W18" s="12"/>
      <c r="X18" s="12"/>
      <c r="Y18" s="16"/>
      <c r="Z18" s="12"/>
      <c r="AA18" s="12"/>
      <c r="AB18" s="40">
        <f>C18/(C13+C14+C16+C18+C23+C26)*AB5</f>
        <v>96038.858347767149</v>
      </c>
      <c r="AC18" s="12"/>
      <c r="AD18" s="12"/>
      <c r="AE18" s="12"/>
      <c r="AF18" s="12"/>
      <c r="AG18" s="12"/>
      <c r="AH18" s="12"/>
      <c r="AI18" s="40">
        <f>C18/(C7+C12+C13+C14+C15+C16+C18+C20)*AI5</f>
        <v>16445.483651024217</v>
      </c>
      <c r="AJ18" s="40">
        <f>C18/(C7+C12+C13+C14+C15+C16+C18+C19+C20)*AJ5</f>
        <v>3940.164778578785</v>
      </c>
      <c r="AK18" s="12"/>
      <c r="AL18" s="12"/>
      <c r="AM18" s="12"/>
      <c r="AN18" s="12"/>
      <c r="AO18" s="12"/>
      <c r="AP18" s="40">
        <f>C18/(C13+C14+C18+C19+C20)*AP5</f>
        <v>2537.3278236914603</v>
      </c>
      <c r="AQ18" s="12"/>
      <c r="AR18" s="12"/>
      <c r="AS18" s="12"/>
      <c r="AT18" s="12"/>
      <c r="AU18" s="28">
        <f t="shared" si="0"/>
        <v>414802.25526805222</v>
      </c>
      <c r="AV18" s="30">
        <f t="shared" si="2"/>
        <v>292.73271366835019</v>
      </c>
    </row>
    <row r="19" spans="1:48" s="5" customFormat="1" x14ac:dyDescent="0.35">
      <c r="A19" s="12" t="s">
        <v>23</v>
      </c>
      <c r="B19" s="12" t="s">
        <v>53</v>
      </c>
      <c r="C19" s="20">
        <v>16040</v>
      </c>
      <c r="D19" s="20">
        <v>9440</v>
      </c>
      <c r="E19" s="33">
        <f t="shared" si="1"/>
        <v>1442507.5227387031</v>
      </c>
      <c r="F19" s="33"/>
      <c r="G19" s="16"/>
      <c r="H19" s="16"/>
      <c r="I19" s="16"/>
      <c r="J19" s="16"/>
      <c r="K19" s="16"/>
      <c r="L19" s="16"/>
      <c r="M19" s="53">
        <f>C19/(C7+C12+C15+C16+C18+C19+C20)*(M5+M6)</f>
        <v>732693.57629164949</v>
      </c>
      <c r="N19" s="53">
        <f>C19/(C19+C20)*(N5+N6)</f>
        <v>1618158.890290038</v>
      </c>
      <c r="O19" s="16"/>
      <c r="P19" s="16"/>
      <c r="Q19" s="16"/>
      <c r="R19" s="16"/>
      <c r="S19" s="16"/>
      <c r="T19" s="16"/>
      <c r="U19" s="16"/>
      <c r="V19" s="12"/>
      <c r="W19" s="12"/>
      <c r="X19" s="12"/>
      <c r="Y19" s="16"/>
      <c r="Z19" s="12"/>
      <c r="AA19" s="12"/>
      <c r="AB19" s="12"/>
      <c r="AC19" s="40">
        <f>C19/(C7+C16+C19)*AC5</f>
        <v>666705.33194138343</v>
      </c>
      <c r="AD19" s="12"/>
      <c r="AE19" s="12"/>
      <c r="AF19" s="12"/>
      <c r="AG19" s="12"/>
      <c r="AH19" s="12"/>
      <c r="AI19" s="12"/>
      <c r="AJ19" s="40">
        <f>C19/(C7+C12+C13+C14+C15+C16+C18++C19+C20)*AJ5</f>
        <v>44601.441812564372</v>
      </c>
      <c r="AK19" s="40">
        <f>C19/(C7+C12+C15+C16+C19)*AK5</f>
        <v>178036.23944597287</v>
      </c>
      <c r="AL19" s="12"/>
      <c r="AM19" s="12"/>
      <c r="AN19" s="12"/>
      <c r="AO19" s="12"/>
      <c r="AP19" s="40">
        <f>C19/(C13+C14+C18+C19+C20)*AP5</f>
        <v>28721.763085399449</v>
      </c>
      <c r="AQ19" s="12"/>
      <c r="AR19" s="12"/>
      <c r="AS19" s="12"/>
      <c r="AT19" s="12"/>
      <c r="AU19" s="28">
        <f t="shared" si="0"/>
        <v>4711424.7656057123</v>
      </c>
      <c r="AV19" s="30">
        <f t="shared" si="2"/>
        <v>293.72972354150323</v>
      </c>
    </row>
    <row r="20" spans="1:48" s="5" customFormat="1" x14ac:dyDescent="0.35">
      <c r="A20" s="12" t="s">
        <v>24</v>
      </c>
      <c r="B20" s="12" t="s">
        <v>53</v>
      </c>
      <c r="C20" s="20">
        <v>15680</v>
      </c>
      <c r="D20" s="20">
        <v>0</v>
      </c>
      <c r="E20" s="33">
        <f t="shared" si="1"/>
        <v>1410132.0421784827</v>
      </c>
      <c r="F20" s="33"/>
      <c r="G20" s="16"/>
      <c r="H20" s="16"/>
      <c r="I20" s="16"/>
      <c r="J20" s="16"/>
      <c r="K20" s="16"/>
      <c r="L20" s="16"/>
      <c r="M20" s="53">
        <f>C20/(C7+C12+C15+C16+C18+C19+C20)*(M5+M6)</f>
        <v>716249.08206066489</v>
      </c>
      <c r="N20" s="53">
        <f>C20/(C19+C20)*(N5+N6)</f>
        <v>1581841.1097099623</v>
      </c>
      <c r="O20" s="16">
        <f>O5</f>
        <v>300000</v>
      </c>
      <c r="P20" s="16"/>
      <c r="Q20" s="16"/>
      <c r="R20" s="16"/>
      <c r="S20" s="16"/>
      <c r="T20" s="16"/>
      <c r="U20" s="16"/>
      <c r="V20" s="12"/>
      <c r="W20" s="12"/>
      <c r="X20" s="12"/>
      <c r="Y20" s="16"/>
      <c r="Z20" s="12"/>
      <c r="AA20" s="12"/>
      <c r="AB20" s="12"/>
      <c r="AC20" s="12"/>
      <c r="AD20" s="40">
        <f>C20/(C16+C20)*AD5</f>
        <v>71550.422970269225</v>
      </c>
      <c r="AE20" s="12"/>
      <c r="AF20" s="12"/>
      <c r="AG20" s="57"/>
      <c r="AH20" s="12"/>
      <c r="AI20" s="40">
        <f>C20/(C7+C12+C13+C14+C15+C16+C18+C20)*AI5</f>
        <v>181979.66383067027</v>
      </c>
      <c r="AJ20" s="40">
        <f>C20/(C7+C12+C13+C14+C15+C16+C18+C19+C20)*AJ5</f>
        <v>43600.411946446962</v>
      </c>
      <c r="AK20" s="12"/>
      <c r="AL20" s="12"/>
      <c r="AM20" s="12"/>
      <c r="AN20" s="12"/>
      <c r="AO20" s="12"/>
      <c r="AP20" s="40">
        <f>C20/(C13+C14+C18+C19+C20)*AP5</f>
        <v>28077.134986225894</v>
      </c>
      <c r="AQ20" s="12"/>
      <c r="AR20" s="12"/>
      <c r="AS20" s="12"/>
      <c r="AT20" s="12"/>
      <c r="AU20" s="28">
        <f t="shared" si="0"/>
        <v>4333429.8676827215</v>
      </c>
      <c r="AV20" s="30">
        <f t="shared" si="2"/>
        <v>276.36670074507151</v>
      </c>
    </row>
    <row r="21" spans="1:48" s="5" customFormat="1" x14ac:dyDescent="0.35">
      <c r="A21" s="12" t="s">
        <v>62</v>
      </c>
      <c r="B21" s="12" t="s">
        <v>53</v>
      </c>
      <c r="C21" s="20">
        <v>500</v>
      </c>
      <c r="D21" s="20">
        <v>120</v>
      </c>
      <c r="E21" s="33">
        <f t="shared" si="1"/>
        <v>44965.945222528157</v>
      </c>
      <c r="F21" s="3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2"/>
      <c r="W21" s="12"/>
      <c r="X21" s="12"/>
      <c r="Y21" s="16"/>
      <c r="Z21" s="12"/>
      <c r="AA21" s="12"/>
      <c r="AB21" s="12"/>
      <c r="AC21" s="12"/>
      <c r="AD21" s="12"/>
      <c r="AE21" s="12"/>
      <c r="AF21" s="12"/>
      <c r="AG21" s="58">
        <f>C21/(C21+C25)*AG5</f>
        <v>12454.334108269677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28">
        <f t="shared" si="0"/>
        <v>57420.279330797835</v>
      </c>
      <c r="AV21" s="30">
        <f t="shared" si="2"/>
        <v>114.84055866159567</v>
      </c>
    </row>
    <row r="22" spans="1:48" s="5" customFormat="1" x14ac:dyDescent="0.35">
      <c r="A22" s="12" t="s">
        <v>25</v>
      </c>
      <c r="B22" s="12" t="s">
        <v>53</v>
      </c>
      <c r="C22" s="20">
        <v>9500</v>
      </c>
      <c r="D22" s="20"/>
      <c r="E22" s="33">
        <f t="shared" si="1"/>
        <v>854352.95922803483</v>
      </c>
      <c r="F22" s="33">
        <f>C22/(C10+C22)*F5</f>
        <v>757246.37681159424</v>
      </c>
      <c r="G22" s="16"/>
      <c r="H22" s="16">
        <f>C22/(C10+C22+C25)*H5</f>
        <v>637825.36840655562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2"/>
      <c r="W22" s="12"/>
      <c r="X22" s="12"/>
      <c r="Y22" s="16"/>
      <c r="Z22" s="12"/>
      <c r="AA22" s="12"/>
      <c r="AB22" s="12"/>
      <c r="AC22" s="12"/>
      <c r="AD22" s="12"/>
      <c r="AE22" s="12"/>
      <c r="AF22" s="12"/>
      <c r="AG22" s="59"/>
      <c r="AH22" s="12"/>
      <c r="AI22" s="12"/>
      <c r="AJ22" s="12"/>
      <c r="AK22" s="12"/>
      <c r="AL22" s="12"/>
      <c r="AM22" s="12"/>
      <c r="AN22" s="12"/>
      <c r="AO22" s="40">
        <f>C22/(C10+C22)*AO5</f>
        <v>123913.04347826086</v>
      </c>
      <c r="AP22" s="12"/>
      <c r="AQ22" s="12">
        <f>AQ5</f>
        <v>320000</v>
      </c>
      <c r="AR22" s="12"/>
      <c r="AS22" s="12" t="s">
        <v>15</v>
      </c>
      <c r="AT22" s="12"/>
      <c r="AU22" s="28">
        <f t="shared" si="0"/>
        <v>2693337.7479244452</v>
      </c>
      <c r="AV22" s="30">
        <f t="shared" si="2"/>
        <v>283.50923662362584</v>
      </c>
    </row>
    <row r="23" spans="1:48" s="7" customFormat="1" x14ac:dyDescent="0.35">
      <c r="A23" s="14" t="s">
        <v>26</v>
      </c>
      <c r="B23" s="14" t="s">
        <v>54</v>
      </c>
      <c r="C23" s="22">
        <v>7159</v>
      </c>
      <c r="D23" s="22">
        <v>7159</v>
      </c>
      <c r="E23" s="33">
        <f>C23/(C$29-C$24)*E$5</f>
        <v>643822.40369615809</v>
      </c>
      <c r="F23" s="47"/>
      <c r="G23" s="47"/>
      <c r="H23" s="47"/>
      <c r="I23" s="47"/>
      <c r="J23" s="47"/>
      <c r="K23" s="33">
        <f>C23/(C$8+C$11+C$12+C$13+C$15+C$14+C$16+C$17+C$18+C$23+C$26+C$27+C$28)*(K$5+K$6)</f>
        <v>523812.33636291506</v>
      </c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8"/>
      <c r="W23" s="48"/>
      <c r="X23" s="48"/>
      <c r="Y23" s="47"/>
      <c r="Z23" s="48"/>
      <c r="AA23" s="48"/>
      <c r="AB23" s="49">
        <f>C23/(C13+C14+C16+C18+C23+C26)*AB5</f>
        <v>485209.72964831692</v>
      </c>
      <c r="AC23" s="48"/>
      <c r="AD23" s="48"/>
      <c r="AE23" s="48"/>
      <c r="AF23" s="48"/>
      <c r="AG23" s="59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28">
        <f t="shared" si="0"/>
        <v>1652844.4697073901</v>
      </c>
      <c r="AV23" s="30">
        <f t="shared" si="2"/>
        <v>230.87644499334965</v>
      </c>
    </row>
    <row r="24" spans="1:48" s="7" customFormat="1" x14ac:dyDescent="0.35">
      <c r="A24" s="14" t="s">
        <v>27</v>
      </c>
      <c r="B24" s="14" t="s">
        <v>54</v>
      </c>
      <c r="C24" s="22">
        <v>39500</v>
      </c>
      <c r="D24" s="22"/>
      <c r="E24" s="33">
        <v>0</v>
      </c>
      <c r="F24" s="47"/>
      <c r="G24" s="47"/>
      <c r="H24" s="50"/>
      <c r="I24" s="47"/>
      <c r="J24" s="47"/>
      <c r="K24" s="33"/>
      <c r="L24" s="47"/>
      <c r="M24" s="47"/>
      <c r="N24" s="47"/>
      <c r="O24" s="47"/>
      <c r="P24" s="47"/>
      <c r="Q24" s="47"/>
      <c r="R24" s="47"/>
      <c r="S24" s="47"/>
      <c r="T24" s="47"/>
      <c r="U24" s="47">
        <f>U5</f>
        <v>10800000</v>
      </c>
      <c r="V24" s="48"/>
      <c r="W24" s="48"/>
      <c r="X24" s="48"/>
      <c r="Y24" s="47"/>
      <c r="Z24" s="48"/>
      <c r="AA24" s="48"/>
      <c r="AB24" s="48"/>
      <c r="AC24" s="48"/>
      <c r="AD24" s="48"/>
      <c r="AE24" s="48"/>
      <c r="AF24" s="48"/>
      <c r="AG24" s="59"/>
      <c r="AH24" s="48"/>
      <c r="AI24" s="48"/>
      <c r="AJ24" s="48"/>
      <c r="AK24" s="48"/>
      <c r="AL24" s="48"/>
      <c r="AM24" s="48">
        <f>AM5</f>
        <v>650000</v>
      </c>
      <c r="AN24" s="48"/>
      <c r="AO24" s="48"/>
      <c r="AP24" s="48"/>
      <c r="AQ24" s="48"/>
      <c r="AR24" s="48"/>
      <c r="AS24" s="48"/>
      <c r="AT24" s="48"/>
      <c r="AU24" s="28">
        <f t="shared" si="0"/>
        <v>11450000</v>
      </c>
      <c r="AV24" s="30">
        <f t="shared" si="2"/>
        <v>289.87341772151899</v>
      </c>
    </row>
    <row r="25" spans="1:48" s="5" customFormat="1" ht="15.75" customHeight="1" x14ac:dyDescent="0.35">
      <c r="A25" s="15" t="s">
        <v>28</v>
      </c>
      <c r="B25" s="15" t="s">
        <v>93</v>
      </c>
      <c r="C25" s="24">
        <v>23588</v>
      </c>
      <c r="D25" s="24">
        <v>23588</v>
      </c>
      <c r="E25" s="33">
        <f>C25/(C$29-C$24)*E$5</f>
        <v>2121313.4318179884</v>
      </c>
      <c r="F25" s="33"/>
      <c r="G25" s="33"/>
      <c r="H25" s="33">
        <f>C25/(C10+C22+C25)*H5</f>
        <v>1583686.8199972454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51"/>
      <c r="W25" s="51"/>
      <c r="X25" s="51"/>
      <c r="Y25" s="33"/>
      <c r="Z25" s="51"/>
      <c r="AA25" s="51"/>
      <c r="AB25" s="51"/>
      <c r="AC25" s="51"/>
      <c r="AD25" s="51"/>
      <c r="AE25" s="51"/>
      <c r="AF25" s="51"/>
      <c r="AG25" s="58">
        <f>C25/(C21+C25)*AG5</f>
        <v>587545.66589173034</v>
      </c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28">
        <f t="shared" si="0"/>
        <v>4292545.9177069645</v>
      </c>
      <c r="AV25" s="30">
        <f t="shared" si="2"/>
        <v>181.98007112544363</v>
      </c>
    </row>
    <row r="26" spans="1:48" s="4" customFormat="1" x14ac:dyDescent="0.35">
      <c r="A26" s="15" t="s">
        <v>29</v>
      </c>
      <c r="B26" s="15" t="s">
        <v>54</v>
      </c>
      <c r="C26" s="24">
        <v>2010</v>
      </c>
      <c r="D26" s="24">
        <v>2010</v>
      </c>
      <c r="E26" s="33">
        <f>C26/(C$29-C$24)*E$5</f>
        <v>180763.09979456317</v>
      </c>
      <c r="F26" s="33"/>
      <c r="G26" s="33"/>
      <c r="H26" s="33"/>
      <c r="I26" s="33"/>
      <c r="J26" s="33"/>
      <c r="K26" s="33">
        <f>C26/(C$8+C$11+C$12+C$13+C$15+C$14+C$16+C$17+C$18+C$23+C$26+C$27+C$28)*(K$5+K$6)</f>
        <v>147068.4168304874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51"/>
      <c r="W26" s="51"/>
      <c r="X26" s="51"/>
      <c r="Y26" s="33"/>
      <c r="Z26" s="51"/>
      <c r="AA26" s="51"/>
      <c r="AB26" s="52">
        <f>C26/(C13+C14+C16+C18+C23+C26)*AB5</f>
        <v>136230.13781158222</v>
      </c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28">
        <f t="shared" si="0"/>
        <v>464061.65443663276</v>
      </c>
      <c r="AV26" s="30">
        <f t="shared" si="2"/>
        <v>230.87644499334962</v>
      </c>
    </row>
    <row r="27" spans="1:48" s="4" customFormat="1" x14ac:dyDescent="0.35">
      <c r="A27" s="15" t="s">
        <v>30</v>
      </c>
      <c r="B27" s="15" t="s">
        <v>54</v>
      </c>
      <c r="C27" s="24">
        <v>9507</v>
      </c>
      <c r="D27" s="24"/>
      <c r="E27" s="33">
        <f>C27/(C$29-C$24)*E$5</f>
        <v>854982.48246115015</v>
      </c>
      <c r="F27" s="33"/>
      <c r="G27" s="33"/>
      <c r="H27" s="33"/>
      <c r="I27" s="33">
        <f>C27/(C$8+C$17+C$27+C11+C9)*I$5</f>
        <v>337214.25164202106</v>
      </c>
      <c r="J27" s="33"/>
      <c r="K27" s="33">
        <f>C27/(C$8+C$11+C$12+C$13+C$15+C$14+C$16+C$17+C$18+C$23+C$26+C$27+C$28)*(K$5+K$6)</f>
        <v>695611.66109823075</v>
      </c>
      <c r="L27" s="33"/>
      <c r="M27" s="33"/>
      <c r="N27" s="33"/>
      <c r="O27" s="33"/>
      <c r="P27" s="33"/>
      <c r="Q27" s="33"/>
      <c r="R27" s="33"/>
      <c r="S27" s="33">
        <f>S5</f>
        <v>350000</v>
      </c>
      <c r="T27" s="33">
        <f>T5</f>
        <v>250000</v>
      </c>
      <c r="U27" s="33"/>
      <c r="V27" s="51"/>
      <c r="W27" s="51"/>
      <c r="X27" s="51"/>
      <c r="Y27" s="33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28">
        <f t="shared" si="0"/>
        <v>2487808.3952014018</v>
      </c>
      <c r="AV27" s="30">
        <f t="shared" si="2"/>
        <v>261.68174978451685</v>
      </c>
    </row>
    <row r="28" spans="1:48" s="5" customFormat="1" x14ac:dyDescent="0.35">
      <c r="A28" s="12" t="s">
        <v>31</v>
      </c>
      <c r="B28" s="12" t="s">
        <v>53</v>
      </c>
      <c r="C28" s="20">
        <v>1600</v>
      </c>
      <c r="D28" s="20"/>
      <c r="E28" s="33">
        <f>C28/(C$29-C$24)*E$5</f>
        <v>143891.02471209009</v>
      </c>
      <c r="F28" s="33"/>
      <c r="G28" s="16">
        <f>C28/(C28+C17)*G5</f>
        <v>124840.40289402753</v>
      </c>
      <c r="H28" s="12"/>
      <c r="I28" s="12"/>
      <c r="J28" s="12"/>
      <c r="K28" s="16">
        <f>C28/(C$8+C$11+C$12+C$13+C$15+C$14+C$16+C$17+C$18+C$23+C$26+C$27+C$28)*(K$5+K$6)</f>
        <v>117069.38653173127</v>
      </c>
      <c r="L28" s="40">
        <f>C28/(C8+C11+C17+C28+C9)*(L5+L6)</f>
        <v>19715.105887450576</v>
      </c>
      <c r="M28" s="12"/>
      <c r="N28" s="12"/>
      <c r="O28" s="12"/>
      <c r="P28" s="40">
        <f>C28/(C7+C17+C28)*(P5+P6)</f>
        <v>96497.633536173089</v>
      </c>
      <c r="Q28" s="12"/>
      <c r="R28" s="12"/>
      <c r="S28" s="12"/>
      <c r="T28" s="12"/>
      <c r="U28" s="12"/>
      <c r="V28" s="12"/>
      <c r="W28" s="12"/>
      <c r="X28" s="12"/>
      <c r="Y28" s="16">
        <f>C28/(C8+C17+C28)*Y5</f>
        <v>72899.580827410246</v>
      </c>
      <c r="Z28" s="40">
        <f>C28/(C8+C17+C28)*Z5</f>
        <v>31346.819755786404</v>
      </c>
      <c r="AA28" s="12"/>
      <c r="AB28" s="12"/>
      <c r="AC28" s="12"/>
      <c r="AD28" s="12"/>
      <c r="AE28" s="40">
        <f>C28/(C8+C17+C28+C9)*AE5</f>
        <v>17265.299830430089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28">
        <f t="shared" si="0"/>
        <v>623525.2539750993</v>
      </c>
      <c r="AV28" s="30">
        <f t="shared" si="2"/>
        <v>389.70328373443704</v>
      </c>
    </row>
    <row r="29" spans="1:48" x14ac:dyDescent="0.35">
      <c r="A29" s="13" t="s">
        <v>60</v>
      </c>
      <c r="C29" s="25">
        <f>SUM(C7:C28)</f>
        <v>274122</v>
      </c>
      <c r="D29" s="25">
        <f>SUM(D7:D28)</f>
        <v>101719</v>
      </c>
      <c r="E29" s="25">
        <f t="shared" ref="E29:F29" si="4">SUM(E7:E28)</f>
        <v>21100000</v>
      </c>
      <c r="F29" s="25">
        <f t="shared" si="4"/>
        <v>2750000</v>
      </c>
      <c r="G29" s="25">
        <f t="shared" ref="G29:AT29" si="5">SUM(G7:G28)</f>
        <v>1100000</v>
      </c>
      <c r="H29" s="25">
        <f t="shared" si="5"/>
        <v>3900000</v>
      </c>
      <c r="I29" s="25">
        <f t="shared" si="5"/>
        <v>2900000</v>
      </c>
      <c r="J29" s="25">
        <f t="shared" si="5"/>
        <v>2700000</v>
      </c>
      <c r="K29" s="25">
        <f t="shared" si="5"/>
        <v>8300000</v>
      </c>
      <c r="L29" s="25">
        <f t="shared" si="5"/>
        <v>910000.00000000012</v>
      </c>
      <c r="M29" s="25">
        <f t="shared" si="5"/>
        <v>3670000</v>
      </c>
      <c r="N29" s="25">
        <f t="shared" si="5"/>
        <v>3200000</v>
      </c>
      <c r="O29" s="25">
        <f t="shared" si="5"/>
        <v>300000</v>
      </c>
      <c r="P29" s="25">
        <f t="shared" si="5"/>
        <v>2230000</v>
      </c>
      <c r="Q29" s="25">
        <f t="shared" si="5"/>
        <v>660000</v>
      </c>
      <c r="R29" s="25">
        <f t="shared" si="5"/>
        <v>670000</v>
      </c>
      <c r="S29" s="25">
        <f t="shared" si="5"/>
        <v>350000</v>
      </c>
      <c r="T29" s="25">
        <f t="shared" si="5"/>
        <v>250000</v>
      </c>
      <c r="U29" s="25">
        <f t="shared" si="5"/>
        <v>10800000</v>
      </c>
      <c r="V29" s="25">
        <f t="shared" si="5"/>
        <v>350000</v>
      </c>
      <c r="W29" s="25">
        <f t="shared" si="5"/>
        <v>480000.00000000006</v>
      </c>
      <c r="X29" s="25">
        <f t="shared" si="5"/>
        <v>200000</v>
      </c>
      <c r="Y29" s="25">
        <f t="shared" si="5"/>
        <v>2000000</v>
      </c>
      <c r="Z29" s="25">
        <f t="shared" si="5"/>
        <v>860000</v>
      </c>
      <c r="AA29" s="25">
        <f t="shared" si="5"/>
        <v>2000000.0000000002</v>
      </c>
      <c r="AB29" s="25">
        <f>SUM(AB7:AB28)</f>
        <v>1800000</v>
      </c>
      <c r="AC29" s="25">
        <f t="shared" si="5"/>
        <v>2150000</v>
      </c>
      <c r="AD29" s="25">
        <f t="shared" si="5"/>
        <v>130000</v>
      </c>
      <c r="AE29" s="25">
        <f t="shared" si="5"/>
        <v>560000</v>
      </c>
      <c r="AF29" s="25">
        <f t="shared" si="5"/>
        <v>6000000</v>
      </c>
      <c r="AG29" s="25">
        <f t="shared" si="5"/>
        <v>600000</v>
      </c>
      <c r="AH29" s="25">
        <f t="shared" si="5"/>
        <v>460000</v>
      </c>
      <c r="AI29" s="25">
        <f t="shared" si="5"/>
        <v>783000</v>
      </c>
      <c r="AJ29" s="25">
        <f t="shared" si="5"/>
        <v>232200.00000000003</v>
      </c>
      <c r="AK29" s="25">
        <f t="shared" si="5"/>
        <v>702000</v>
      </c>
      <c r="AL29" s="25">
        <f t="shared" si="5"/>
        <v>2592000</v>
      </c>
      <c r="AM29" s="25">
        <f t="shared" si="5"/>
        <v>650000</v>
      </c>
      <c r="AN29" s="25">
        <f t="shared" si="5"/>
        <v>1830000</v>
      </c>
      <c r="AO29" s="25">
        <f t="shared" si="5"/>
        <v>450000</v>
      </c>
      <c r="AP29" s="25">
        <f t="shared" si="5"/>
        <v>65000</v>
      </c>
      <c r="AQ29" s="25">
        <f t="shared" si="5"/>
        <v>320000</v>
      </c>
      <c r="AR29" s="25">
        <f t="shared" si="5"/>
        <v>325000</v>
      </c>
      <c r="AS29" s="25">
        <f t="shared" si="5"/>
        <v>0</v>
      </c>
      <c r="AT29" s="25">
        <f t="shared" si="5"/>
        <v>3900000</v>
      </c>
      <c r="AU29" s="25">
        <f>SUM(AU7:AU28)</f>
        <v>95229200</v>
      </c>
      <c r="AV29" s="25"/>
    </row>
    <row r="30" spans="1:48" x14ac:dyDescent="0.35">
      <c r="AV30" s="31">
        <f>(AU5+AU6)/C29</f>
        <v>347.39714433719291</v>
      </c>
    </row>
    <row r="31" spans="1:48" ht="29" x14ac:dyDescent="0.35">
      <c r="AT31" s="10"/>
      <c r="AU31" s="10" t="s">
        <v>95</v>
      </c>
      <c r="AV31" s="55" t="s">
        <v>98</v>
      </c>
    </row>
    <row r="32" spans="1:48" ht="67.5" customHeight="1" x14ac:dyDescent="0.55000000000000004">
      <c r="A32" s="60" t="s">
        <v>102</v>
      </c>
      <c r="B32" s="60"/>
      <c r="C32" s="60"/>
      <c r="D32" s="1"/>
      <c r="E32" s="1"/>
      <c r="F32" s="1"/>
      <c r="AS32" s="1"/>
      <c r="AT32" s="55" t="s">
        <v>97</v>
      </c>
      <c r="AU32" s="43">
        <f>AU29-AU33</f>
        <v>74881939.562947601</v>
      </c>
      <c r="AV32" s="54">
        <f>AU32/(SUM(C7:C22)+C28)</f>
        <v>389.28424896779757</v>
      </c>
    </row>
    <row r="33" spans="1:48" x14ac:dyDescent="0.35">
      <c r="AT33" s="10" t="s">
        <v>96</v>
      </c>
      <c r="AU33" s="43">
        <f>SUM(AU23+AU24+AU25+AU26+AU27)</f>
        <v>20347260.437052391</v>
      </c>
      <c r="AV33" s="56">
        <f>AU33/SUM(C23:C27)</f>
        <v>248.85353501605098</v>
      </c>
    </row>
    <row r="34" spans="1:48" x14ac:dyDescent="0.35">
      <c r="A34" s="6"/>
      <c r="K34" s="39"/>
      <c r="L34" s="37"/>
      <c r="M34" s="38"/>
    </row>
    <row r="35" spans="1:48" x14ac:dyDescent="0.35">
      <c r="K35" s="39"/>
      <c r="L35" s="37"/>
      <c r="M35" s="38"/>
    </row>
    <row r="36" spans="1:48" x14ac:dyDescent="0.35">
      <c r="K36" s="39"/>
      <c r="L36" s="37"/>
      <c r="M36" s="38"/>
    </row>
    <row r="37" spans="1:48" x14ac:dyDescent="0.35">
      <c r="K37" s="39"/>
      <c r="L37" s="37"/>
      <c r="M37" s="38"/>
    </row>
    <row r="38" spans="1:48" x14ac:dyDescent="0.35">
      <c r="K38" s="39"/>
      <c r="L38" s="37"/>
      <c r="M38" s="38"/>
    </row>
    <row r="41" spans="1:48" x14ac:dyDescent="0.35">
      <c r="A41" s="46"/>
      <c r="C41" s="31"/>
    </row>
    <row r="43" spans="1:48" x14ac:dyDescent="0.35">
      <c r="C43" s="31"/>
    </row>
    <row r="45" spans="1:48" x14ac:dyDescent="0.35">
      <c r="C45" s="31"/>
    </row>
  </sheetData>
  <mergeCells count="1">
    <mergeCell ref="A32:C32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zoomScaleNormal="100" workbookViewId="0">
      <pane xSplit="3" topLeftCell="J1" activePane="topRight" state="frozen"/>
      <selection activeCell="A4" sqref="A4"/>
      <selection pane="topRight" activeCell="AL7" sqref="AL7"/>
    </sheetView>
  </sheetViews>
  <sheetFormatPr baseColWidth="10" defaultColWidth="11.453125" defaultRowHeight="14.5" x14ac:dyDescent="0.35"/>
  <cols>
    <col min="1" max="1" width="13.81640625" customWidth="1"/>
    <col min="2" max="2" width="9.1796875" bestFit="1" customWidth="1"/>
    <col min="3" max="3" width="8.81640625" bestFit="1" customWidth="1"/>
    <col min="4" max="4" width="8.81640625" customWidth="1"/>
    <col min="5" max="5" width="11.26953125" bestFit="1" customWidth="1"/>
    <col min="6" max="6" width="12.26953125" customWidth="1"/>
    <col min="7" max="10" width="14.81640625" bestFit="1" customWidth="1"/>
    <col min="11" max="11" width="15.81640625" bestFit="1" customWidth="1"/>
    <col min="12" max="14" width="14.81640625" bestFit="1" customWidth="1"/>
    <col min="15" max="15" width="13.453125" bestFit="1" customWidth="1"/>
    <col min="16" max="16" width="14.81640625" bestFit="1" customWidth="1"/>
    <col min="17" max="20" width="13.453125" bestFit="1" customWidth="1"/>
    <col min="21" max="21" width="14.81640625" bestFit="1" customWidth="1"/>
    <col min="22" max="24" width="13.453125" bestFit="1" customWidth="1"/>
    <col min="25" max="25" width="11.453125" bestFit="1" customWidth="1"/>
    <col min="26" max="26" width="13.453125" bestFit="1" customWidth="1"/>
    <col min="27" max="29" width="14.81640625" bestFit="1" customWidth="1"/>
    <col min="30" max="31" width="13.453125" bestFit="1" customWidth="1"/>
    <col min="32" max="33" width="14.81640625" bestFit="1" customWidth="1"/>
    <col min="34" max="34" width="13.453125" bestFit="1" customWidth="1"/>
    <col min="35" max="35" width="14.81640625" bestFit="1" customWidth="1"/>
    <col min="36" max="36" width="13.453125" bestFit="1" customWidth="1"/>
    <col min="37" max="38" width="14.81640625" bestFit="1" customWidth="1"/>
    <col min="39" max="39" width="13.453125" bestFit="1" customWidth="1"/>
    <col min="40" max="40" width="14.81640625" bestFit="1" customWidth="1"/>
    <col min="41" max="41" width="13.453125" bestFit="1" customWidth="1"/>
    <col min="42" max="42" width="12.453125" bestFit="1" customWidth="1"/>
    <col min="43" max="44" width="13.453125" bestFit="1" customWidth="1"/>
    <col min="45" max="45" width="11.26953125" bestFit="1" customWidth="1"/>
    <col min="46" max="46" width="14.81640625" bestFit="1" customWidth="1"/>
    <col min="47" max="47" width="13.81640625" bestFit="1" customWidth="1"/>
  </cols>
  <sheetData>
    <row r="1" spans="1:48" ht="23.5" x14ac:dyDescent="0.55000000000000004">
      <c r="A1" s="1" t="s">
        <v>0</v>
      </c>
      <c r="B1" s="1"/>
      <c r="C1" s="1"/>
      <c r="D1" s="1"/>
      <c r="E1" s="1"/>
      <c r="F1" s="1"/>
    </row>
    <row r="2" spans="1:48" x14ac:dyDescent="0.35">
      <c r="A2" t="s">
        <v>49</v>
      </c>
      <c r="B2" s="2">
        <v>43500</v>
      </c>
    </row>
    <row r="4" spans="1:48" ht="29" x14ac:dyDescent="0.35">
      <c r="A4" s="8" t="s">
        <v>1</v>
      </c>
      <c r="B4" s="9" t="s">
        <v>50</v>
      </c>
      <c r="C4" s="9" t="s">
        <v>51</v>
      </c>
      <c r="D4" s="9" t="s">
        <v>89</v>
      </c>
      <c r="E4" s="9" t="s">
        <v>99</v>
      </c>
      <c r="F4" s="9" t="s">
        <v>94</v>
      </c>
      <c r="G4" s="9" t="s">
        <v>45</v>
      </c>
      <c r="H4" s="8" t="s">
        <v>33</v>
      </c>
      <c r="I4" s="9" t="s">
        <v>19</v>
      </c>
      <c r="J4" s="8" t="s">
        <v>14</v>
      </c>
      <c r="K4" s="8" t="s">
        <v>17</v>
      </c>
      <c r="L4" s="8" t="s">
        <v>18</v>
      </c>
      <c r="M4" s="8" t="s">
        <v>4</v>
      </c>
      <c r="N4" s="8" t="s">
        <v>38</v>
      </c>
      <c r="O4" s="8" t="s">
        <v>39</v>
      </c>
      <c r="P4" s="8" t="s">
        <v>3</v>
      </c>
      <c r="Q4" s="8" t="s">
        <v>35</v>
      </c>
      <c r="R4" s="8" t="s">
        <v>36</v>
      </c>
      <c r="S4" s="9" t="s">
        <v>46</v>
      </c>
      <c r="T4" s="9" t="s">
        <v>47</v>
      </c>
      <c r="U4" s="9" t="s">
        <v>77</v>
      </c>
      <c r="V4" s="8" t="s">
        <v>34</v>
      </c>
      <c r="W4" s="8" t="s">
        <v>6</v>
      </c>
      <c r="X4" s="8" t="s">
        <v>5</v>
      </c>
      <c r="Y4" s="8" t="s">
        <v>68</v>
      </c>
      <c r="Z4" s="8" t="s">
        <v>69</v>
      </c>
      <c r="AA4" s="8" t="s">
        <v>74</v>
      </c>
      <c r="AB4" s="8" t="s">
        <v>75</v>
      </c>
      <c r="AC4" s="8" t="s">
        <v>67</v>
      </c>
      <c r="AD4" s="8" t="s">
        <v>76</v>
      </c>
      <c r="AE4" s="8" t="s">
        <v>70</v>
      </c>
      <c r="AF4" s="8" t="s">
        <v>32</v>
      </c>
      <c r="AG4" s="9" t="s">
        <v>44</v>
      </c>
      <c r="AH4" s="9" t="s">
        <v>101</v>
      </c>
      <c r="AI4" s="8" t="s">
        <v>10</v>
      </c>
      <c r="AJ4" s="8" t="s">
        <v>11</v>
      </c>
      <c r="AK4" s="8" t="s">
        <v>12</v>
      </c>
      <c r="AL4" s="8" t="s">
        <v>13</v>
      </c>
      <c r="AM4" s="8" t="s">
        <v>78</v>
      </c>
      <c r="AN4" s="8" t="s">
        <v>9</v>
      </c>
      <c r="AO4" s="9" t="s">
        <v>72</v>
      </c>
      <c r="AP4" s="8" t="s">
        <v>37</v>
      </c>
      <c r="AQ4" s="9" t="s">
        <v>40</v>
      </c>
      <c r="AR4" s="9" t="s">
        <v>73</v>
      </c>
      <c r="AS4" s="8" t="s">
        <v>42</v>
      </c>
      <c r="AT4" s="9" t="s">
        <v>43</v>
      </c>
      <c r="AU4" s="26" t="s">
        <v>65</v>
      </c>
      <c r="AV4" s="27" t="s">
        <v>66</v>
      </c>
    </row>
    <row r="5" spans="1:48" x14ac:dyDescent="0.35">
      <c r="A5" s="10" t="s">
        <v>59</v>
      </c>
      <c r="B5" s="10"/>
      <c r="C5" s="18"/>
      <c r="D5" s="18"/>
      <c r="E5" s="18">
        <v>21100000</v>
      </c>
      <c r="F5" s="18">
        <v>2750000</v>
      </c>
      <c r="G5" s="18">
        <v>1100000</v>
      </c>
      <c r="H5" s="18">
        <v>3900000</v>
      </c>
      <c r="I5" s="18">
        <v>2900000</v>
      </c>
      <c r="J5" s="18">
        <f>5000000*0.54</f>
        <v>2700000</v>
      </c>
      <c r="K5" s="18">
        <v>8300000</v>
      </c>
      <c r="L5" s="18">
        <v>910000</v>
      </c>
      <c r="M5" s="18">
        <v>3670000</v>
      </c>
      <c r="N5" s="18">
        <v>3200000</v>
      </c>
      <c r="O5" s="18">
        <v>300000</v>
      </c>
      <c r="P5" s="18">
        <v>2230000</v>
      </c>
      <c r="Q5" s="18">
        <v>660000</v>
      </c>
      <c r="R5" s="18">
        <v>670000</v>
      </c>
      <c r="S5" s="18">
        <v>350000</v>
      </c>
      <c r="T5" s="18">
        <v>250000</v>
      </c>
      <c r="U5" s="18">
        <v>10800000</v>
      </c>
      <c r="V5" s="18">
        <v>350000</v>
      </c>
      <c r="W5" s="18">
        <v>480000</v>
      </c>
      <c r="X5" s="18">
        <v>200000</v>
      </c>
      <c r="Y5" s="18">
        <v>2000000</v>
      </c>
      <c r="Z5" s="18">
        <v>860000</v>
      </c>
      <c r="AA5" s="18">
        <v>2000000</v>
      </c>
      <c r="AB5" s="18">
        <v>1800000</v>
      </c>
      <c r="AC5" s="18">
        <v>2150000</v>
      </c>
      <c r="AD5" s="18">
        <v>130000</v>
      </c>
      <c r="AE5" s="18">
        <v>560000</v>
      </c>
      <c r="AF5" s="18">
        <v>6000000</v>
      </c>
      <c r="AG5" s="18">
        <v>600000</v>
      </c>
      <c r="AH5" s="18">
        <v>460000</v>
      </c>
      <c r="AI5" s="18">
        <v>790000</v>
      </c>
      <c r="AJ5" s="18">
        <v>220000</v>
      </c>
      <c r="AK5" s="18">
        <v>700000</v>
      </c>
      <c r="AL5" s="18">
        <v>2600000</v>
      </c>
      <c r="AM5" s="18">
        <v>650000</v>
      </c>
      <c r="AN5" s="18">
        <v>1830000</v>
      </c>
      <c r="AO5" s="18">
        <v>450000</v>
      </c>
      <c r="AP5" s="18">
        <v>65000</v>
      </c>
      <c r="AQ5" s="18">
        <v>320000</v>
      </c>
      <c r="AR5" s="18">
        <v>325000</v>
      </c>
      <c r="AS5" s="18">
        <v>60000000</v>
      </c>
      <c r="AT5" s="18">
        <v>3900000</v>
      </c>
      <c r="AU5" s="28">
        <f>SUM(E5:AT5)-60000000</f>
        <v>95230000</v>
      </c>
      <c r="AV5" s="29"/>
    </row>
    <row r="6" spans="1:48" s="3" customFormat="1" hidden="1" x14ac:dyDescent="0.35">
      <c r="A6" s="10" t="s">
        <v>61</v>
      </c>
      <c r="B6" s="10"/>
      <c r="C6" s="18"/>
      <c r="D6" s="18"/>
      <c r="E6" s="18"/>
      <c r="F6" s="18"/>
      <c r="G6" s="19"/>
      <c r="H6" s="18"/>
      <c r="I6" s="19"/>
      <c r="J6" s="18"/>
      <c r="K6" s="18"/>
      <c r="L6" s="18"/>
      <c r="M6" s="18"/>
      <c r="N6" s="18"/>
      <c r="O6" s="18"/>
      <c r="P6" s="18"/>
      <c r="Q6" s="18"/>
      <c r="R6" s="18"/>
      <c r="S6" s="19"/>
      <c r="T6" s="19"/>
      <c r="U6" s="1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/>
      <c r="AH6" s="18"/>
      <c r="AI6" s="18"/>
      <c r="AJ6" s="18"/>
      <c r="AK6" s="18"/>
      <c r="AL6" s="18"/>
      <c r="AM6" s="18"/>
      <c r="AN6" s="18"/>
      <c r="AO6" s="19"/>
      <c r="AP6" s="18"/>
      <c r="AQ6" s="19"/>
      <c r="AR6" s="19"/>
      <c r="AS6" s="18"/>
      <c r="AT6" s="19"/>
      <c r="AU6" s="28">
        <f t="shared" ref="AU6:AU28" si="0">SUM(E6:AT6)</f>
        <v>0</v>
      </c>
      <c r="AV6" s="29"/>
    </row>
    <row r="7" spans="1:48" x14ac:dyDescent="0.35">
      <c r="A7" s="8" t="s">
        <v>2</v>
      </c>
      <c r="B7" s="11" t="s">
        <v>52</v>
      </c>
      <c r="C7" s="20">
        <v>22877</v>
      </c>
      <c r="D7" s="20">
        <v>9565</v>
      </c>
      <c r="E7" s="33">
        <f>ROUND(ver2_2019!E7,-4)</f>
        <v>2060000</v>
      </c>
      <c r="F7" s="33">
        <f>ROUND(ver2_2019!F7,-4)</f>
        <v>0</v>
      </c>
      <c r="G7" s="33">
        <f>ROUND(ver2_2019!G7,-4)</f>
        <v>0</v>
      </c>
      <c r="H7" s="33">
        <f>ROUND(ver2_2019!H7,-4)</f>
        <v>0</v>
      </c>
      <c r="I7" s="33">
        <f>ROUND(ver2_2019!I7,-4)</f>
        <v>0</v>
      </c>
      <c r="J7" s="33">
        <f>ROUND(ver2_2019!J7,-4)</f>
        <v>1310000</v>
      </c>
      <c r="K7" s="33">
        <f>ROUND(ver2_2019!K7,-4)</f>
        <v>0</v>
      </c>
      <c r="L7" s="33">
        <f>ROUND(ver2_2019!L7,-4)</f>
        <v>0</v>
      </c>
      <c r="M7" s="33">
        <f>ROUND(ver2_2019!M7,-4)</f>
        <v>1050000</v>
      </c>
      <c r="N7" s="33">
        <f>ROUND(ver2_2019!N7,-4)</f>
        <v>0</v>
      </c>
      <c r="O7" s="33">
        <f>ROUND(ver2_2019!O7,-4)</f>
        <v>0</v>
      </c>
      <c r="P7" s="33">
        <f>ROUND(ver2_2019!P7,-4)</f>
        <v>1380000</v>
      </c>
      <c r="Q7" s="33">
        <f>ROUND(ver2_2019!Q7,-4)</f>
        <v>0</v>
      </c>
      <c r="R7" s="33">
        <f>ROUND(ver2_2019!R7,-4)</f>
        <v>0</v>
      </c>
      <c r="S7" s="33">
        <f>ROUND(ver2_2019!S7,-4)</f>
        <v>0</v>
      </c>
      <c r="T7" s="33">
        <f>ROUND(ver2_2019!T7,-4)</f>
        <v>0</v>
      </c>
      <c r="U7" s="33">
        <f>ROUND(ver2_2019!U7,-4)</f>
        <v>0</v>
      </c>
      <c r="V7" s="33">
        <f>ROUND(ver2_2019!V7,-4)</f>
        <v>0</v>
      </c>
      <c r="W7" s="33">
        <f>ROUND(ver2_2019!W7,-4)</f>
        <v>320000</v>
      </c>
      <c r="X7" s="33">
        <f>ROUND(ver2_2019!X7,-4)</f>
        <v>200000</v>
      </c>
      <c r="Y7" s="33">
        <f>ROUND(ver2_2019!Y7,-4)</f>
        <v>0</v>
      </c>
      <c r="Z7" s="33">
        <f>ROUND(ver2_2019!Z7,-4)</f>
        <v>0</v>
      </c>
      <c r="AA7" s="33">
        <f>ROUND(ver2_2019!AA7,-4)</f>
        <v>0</v>
      </c>
      <c r="AB7" s="33">
        <f>ROUND(ver2_2019!AB7,-4)</f>
        <v>0</v>
      </c>
      <c r="AC7" s="33">
        <f>ROUND(ver2_2019!AC7,-4)</f>
        <v>950000</v>
      </c>
      <c r="AD7" s="33">
        <f>ROUND(ver2_2019!AD7,-4)</f>
        <v>0</v>
      </c>
      <c r="AE7" s="33">
        <f>ROUND(ver2_2019!AE7,-4)</f>
        <v>0</v>
      </c>
      <c r="AF7" s="33">
        <f>ROUND(ver2_2019!AF7,-4)</f>
        <v>0</v>
      </c>
      <c r="AG7" s="33">
        <f>ROUND(ver2_2019!AG7,-4)</f>
        <v>0</v>
      </c>
      <c r="AH7" s="33">
        <f>ROUND(ver2_2019!AH7,-4)</f>
        <v>460000</v>
      </c>
      <c r="AI7" s="33">
        <f>ROUND(ver2_2019!AI7,-4)</f>
        <v>270000</v>
      </c>
      <c r="AJ7" s="33">
        <f>ROUND(ver2_2019!AJ7,-4)</f>
        <v>60000</v>
      </c>
      <c r="AK7" s="33">
        <f>ROUND(ver2_2019!AK7,-4)</f>
        <v>250000</v>
      </c>
      <c r="AL7" s="33">
        <f>ROUND(ver2_2019!AL7,-4)</f>
        <v>1260000</v>
      </c>
      <c r="AM7" s="33">
        <f>ROUND(ver2_2019!AM7,-4)</f>
        <v>0</v>
      </c>
      <c r="AN7" s="33">
        <f>ROUND(ver2_2019!AN7,-4)</f>
        <v>1830000</v>
      </c>
      <c r="AO7" s="33">
        <f>ROUND(ver2_2019!AO7,-4)</f>
        <v>0</v>
      </c>
      <c r="AP7" s="33">
        <f>ROUND(ver2_2019!AP7,-4)</f>
        <v>0</v>
      </c>
      <c r="AQ7" s="33">
        <f>ROUND(ver2_2019!AQ7,-4)</f>
        <v>0</v>
      </c>
      <c r="AR7" s="33">
        <f>ROUND(ver2_2019!AR7,-4)</f>
        <v>0</v>
      </c>
      <c r="AS7" s="33">
        <f>ROUND(ver2_2019!AS7,-4)</f>
        <v>0</v>
      </c>
      <c r="AT7" s="33">
        <f>ROUND(ver2_2019!AT7,-4)</f>
        <v>2890000</v>
      </c>
      <c r="AU7" s="28">
        <f t="shared" si="0"/>
        <v>14290000</v>
      </c>
      <c r="AV7" s="30">
        <f t="shared" ref="AV7:AV28" si="1">AU7/C7</f>
        <v>624.64483979542774</v>
      </c>
    </row>
    <row r="8" spans="1:48" s="5" customFormat="1" x14ac:dyDescent="0.35">
      <c r="A8" s="12" t="s">
        <v>16</v>
      </c>
      <c r="B8" s="12" t="s">
        <v>53</v>
      </c>
      <c r="C8" s="20">
        <v>29798</v>
      </c>
      <c r="D8" s="20">
        <v>4120</v>
      </c>
      <c r="E8" s="33">
        <f>ROUND(ver2_2019!E8,-4)</f>
        <v>2680000</v>
      </c>
      <c r="F8" s="33">
        <f>ROUND(ver2_2019!F8,-4)</f>
        <v>0</v>
      </c>
      <c r="G8" s="33">
        <f>ROUND(ver2_2019!G8,-4)</f>
        <v>0</v>
      </c>
      <c r="H8" s="33">
        <f>ROUND(ver2_2019!H8,-4)</f>
        <v>0</v>
      </c>
      <c r="I8" s="33">
        <f>ROUND(ver2_2019!I8,-4)</f>
        <v>1060000</v>
      </c>
      <c r="J8" s="33">
        <f>ROUND(ver2_2019!J8,-4)</f>
        <v>0</v>
      </c>
      <c r="K8" s="33">
        <f>ROUND(ver2_2019!K8,-4)</f>
        <v>2180000</v>
      </c>
      <c r="L8" s="33">
        <f>ROUND(ver2_2019!L8,-4)</f>
        <v>370000</v>
      </c>
      <c r="M8" s="33">
        <f>ROUND(ver2_2019!M8,-4)</f>
        <v>0</v>
      </c>
      <c r="N8" s="33">
        <f>ROUND(ver2_2019!N8,-4)</f>
        <v>0</v>
      </c>
      <c r="O8" s="33">
        <f>ROUND(ver2_2019!O8,-4)</f>
        <v>0</v>
      </c>
      <c r="P8" s="33">
        <f>ROUND(ver2_2019!P8,-4)</f>
        <v>0</v>
      </c>
      <c r="Q8" s="33">
        <f>ROUND(ver2_2019!Q8,-4)</f>
        <v>0</v>
      </c>
      <c r="R8" s="33">
        <f>ROUND(ver2_2019!R8,-4)</f>
        <v>0</v>
      </c>
      <c r="S8" s="33">
        <f>ROUND(ver2_2019!S8,-4)</f>
        <v>0</v>
      </c>
      <c r="T8" s="33">
        <f>ROUND(ver2_2019!T8,-4)</f>
        <v>0</v>
      </c>
      <c r="U8" s="33">
        <f>ROUND(ver2_2019!U8,-4)</f>
        <v>0</v>
      </c>
      <c r="V8" s="33">
        <f>ROUND(ver2_2019!V8,-4)</f>
        <v>0</v>
      </c>
      <c r="W8" s="33">
        <f>ROUND(ver2_2019!W8,-4)</f>
        <v>0</v>
      </c>
      <c r="X8" s="33">
        <f>ROUND(ver2_2019!X8,-4)</f>
        <v>0</v>
      </c>
      <c r="Y8" s="33">
        <f>ROUND(ver2_2019!Y8,-4)</f>
        <v>1360000</v>
      </c>
      <c r="Z8" s="33">
        <f>ROUND(ver2_2019!Z8,-4)</f>
        <v>580000</v>
      </c>
      <c r="AA8" s="33">
        <f>ROUND(ver2_2019!AA8,-4)</f>
        <v>0</v>
      </c>
      <c r="AB8" s="33">
        <f>ROUND(ver2_2019!AB8,-4)</f>
        <v>0</v>
      </c>
      <c r="AC8" s="33">
        <f>ROUND(ver2_2019!AC8,-4)</f>
        <v>0</v>
      </c>
      <c r="AD8" s="33">
        <f>ROUND(ver2_2019!AD8,-4)</f>
        <v>0</v>
      </c>
      <c r="AE8" s="33">
        <f>ROUND(ver2_2019!AE8,-4)</f>
        <v>320000</v>
      </c>
      <c r="AF8" s="33">
        <f>ROUND(ver2_2019!AF8,-4)</f>
        <v>0</v>
      </c>
      <c r="AG8" s="33">
        <f>ROUND(ver2_2019!AG8,-4)</f>
        <v>0</v>
      </c>
      <c r="AH8" s="33">
        <f>ROUND(ver2_2019!AH8,-4)</f>
        <v>0</v>
      </c>
      <c r="AI8" s="33">
        <f>ROUND(ver2_2019!AI8,-4)</f>
        <v>0</v>
      </c>
      <c r="AJ8" s="33">
        <f>ROUND(ver2_2019!AJ8,-4)</f>
        <v>0</v>
      </c>
      <c r="AK8" s="33">
        <f>ROUND(ver2_2019!AK8,-4)</f>
        <v>0</v>
      </c>
      <c r="AL8" s="33">
        <f>ROUND(ver2_2019!AL8,-4)</f>
        <v>0</v>
      </c>
      <c r="AM8" s="33">
        <f>ROUND(ver2_2019!AM8,-4)</f>
        <v>0</v>
      </c>
      <c r="AN8" s="33">
        <f>ROUND(ver2_2019!AN8,-4)</f>
        <v>0</v>
      </c>
      <c r="AO8" s="33">
        <f>ROUND(ver2_2019!AO8,-4)</f>
        <v>0</v>
      </c>
      <c r="AP8" s="33">
        <f>ROUND(ver2_2019!AP8,-4)</f>
        <v>0</v>
      </c>
      <c r="AQ8" s="33">
        <f>ROUND(ver2_2019!AQ8,-4)</f>
        <v>0</v>
      </c>
      <c r="AR8" s="33">
        <f>ROUND(ver2_2019!AR8,-4)</f>
        <v>0</v>
      </c>
      <c r="AS8" s="33" t="s">
        <v>15</v>
      </c>
      <c r="AT8" s="33">
        <f>ROUND(ver2_2019!AT8,-4)</f>
        <v>0</v>
      </c>
      <c r="AU8" s="28">
        <f t="shared" si="0"/>
        <v>8550000</v>
      </c>
      <c r="AV8" s="30">
        <f t="shared" si="1"/>
        <v>286.93200885965501</v>
      </c>
    </row>
    <row r="9" spans="1:48" s="5" customFormat="1" x14ac:dyDescent="0.35">
      <c r="A9" s="12" t="s">
        <v>92</v>
      </c>
      <c r="B9" s="12" t="s">
        <v>53</v>
      </c>
      <c r="C9" s="20">
        <v>8000</v>
      </c>
      <c r="D9" s="20">
        <v>8000</v>
      </c>
      <c r="E9" s="33">
        <f>ROUND(ver2_2019!E9,-4)</f>
        <v>720000</v>
      </c>
      <c r="F9" s="33">
        <f>ROUND(ver2_2019!F9,-4)</f>
        <v>0</v>
      </c>
      <c r="G9" s="33">
        <f>ROUND(ver2_2019!G9,-4)</f>
        <v>0</v>
      </c>
      <c r="H9" s="33">
        <f>ROUND(ver2_2019!H9,-4)</f>
        <v>0</v>
      </c>
      <c r="I9" s="33">
        <f>ROUND(ver2_2019!I9,-4)</f>
        <v>280000</v>
      </c>
      <c r="J9" s="33">
        <f>ROUND(ver2_2019!J9,-4)</f>
        <v>0</v>
      </c>
      <c r="K9" s="33">
        <f>ROUND(ver2_2019!K9,-4)</f>
        <v>0</v>
      </c>
      <c r="L9" s="33">
        <f>ROUND(ver2_2019!L9,-4)</f>
        <v>100000</v>
      </c>
      <c r="M9" s="33">
        <f>ROUND(ver2_2019!M9,-4)</f>
        <v>0</v>
      </c>
      <c r="N9" s="33">
        <f>ROUND(ver2_2019!N9,-4)</f>
        <v>0</v>
      </c>
      <c r="O9" s="33">
        <f>ROUND(ver2_2019!O9,-4)</f>
        <v>0</v>
      </c>
      <c r="P9" s="33">
        <f>ROUND(ver2_2019!P9,-4)</f>
        <v>0</v>
      </c>
      <c r="Q9" s="33">
        <f>ROUND(ver2_2019!Q9,-4)</f>
        <v>0</v>
      </c>
      <c r="R9" s="33">
        <f>ROUND(ver2_2019!R9,-4)</f>
        <v>0</v>
      </c>
      <c r="S9" s="33">
        <f>ROUND(ver2_2019!S9,-4)</f>
        <v>0</v>
      </c>
      <c r="T9" s="33">
        <f>ROUND(ver2_2019!T9,-4)</f>
        <v>0</v>
      </c>
      <c r="U9" s="33">
        <f>ROUND(ver2_2019!U9,-4)</f>
        <v>0</v>
      </c>
      <c r="V9" s="33">
        <f>ROUND(ver2_2019!V9,-4)</f>
        <v>0</v>
      </c>
      <c r="W9" s="33">
        <f>ROUND(ver2_2019!W9,-4)</f>
        <v>0</v>
      </c>
      <c r="X9" s="33">
        <f>ROUND(ver2_2019!X9,-4)</f>
        <v>0</v>
      </c>
      <c r="Y9" s="33">
        <f>ROUND(ver2_2019!Y9,-4)</f>
        <v>0</v>
      </c>
      <c r="Z9" s="33">
        <f>ROUND(ver2_2019!Z9,-4)</f>
        <v>0</v>
      </c>
      <c r="AA9" s="33">
        <f>ROUND(ver2_2019!AA9,-4)</f>
        <v>0</v>
      </c>
      <c r="AB9" s="33">
        <f>ROUND(ver2_2019!AB9,-4)</f>
        <v>0</v>
      </c>
      <c r="AC9" s="33">
        <f>ROUND(ver2_2019!AC9,-4)</f>
        <v>0</v>
      </c>
      <c r="AD9" s="33">
        <f>ROUND(ver2_2019!AD9,-4)</f>
        <v>0</v>
      </c>
      <c r="AE9" s="33">
        <f>ROUND(ver2_2019!AE9,-4)</f>
        <v>90000</v>
      </c>
      <c r="AF9" s="33">
        <f>ROUND(ver2_2019!AF9,-4)</f>
        <v>0</v>
      </c>
      <c r="AG9" s="33">
        <f>ROUND(ver2_2019!AG9,-4)</f>
        <v>0</v>
      </c>
      <c r="AH9" s="33">
        <f>ROUND(ver2_2019!AH9,-4)</f>
        <v>0</v>
      </c>
      <c r="AI9" s="33">
        <f>ROUND(ver2_2019!AI9,-4)</f>
        <v>0</v>
      </c>
      <c r="AJ9" s="33">
        <f>ROUND(ver2_2019!AJ9,-4)</f>
        <v>0</v>
      </c>
      <c r="AK9" s="33">
        <f>ROUND(ver2_2019!AK9,-4)</f>
        <v>0</v>
      </c>
      <c r="AL9" s="33">
        <f>ROUND(ver2_2019!AL9,-4)</f>
        <v>0</v>
      </c>
      <c r="AM9" s="33">
        <f>ROUND(ver2_2019!AM9,-4)</f>
        <v>0</v>
      </c>
      <c r="AN9" s="33">
        <f>ROUND(ver2_2019!AN9,-4)</f>
        <v>0</v>
      </c>
      <c r="AO9" s="33">
        <f>ROUND(ver2_2019!AO9,-4)</f>
        <v>0</v>
      </c>
      <c r="AP9" s="33">
        <f>ROUND(ver2_2019!AP9,-4)</f>
        <v>0</v>
      </c>
      <c r="AQ9" s="33">
        <f>ROUND(ver2_2019!AQ9,-4)</f>
        <v>0</v>
      </c>
      <c r="AR9" s="33">
        <f>ROUND(ver2_2019!AR9,-4)</f>
        <v>0</v>
      </c>
      <c r="AS9" s="33">
        <f>ROUND(ver2_2019!AS9,-4)</f>
        <v>0</v>
      </c>
      <c r="AT9" s="33">
        <f>ROUND(ver2_2019!AT9,-4)</f>
        <v>1010000</v>
      </c>
      <c r="AU9" s="28">
        <f t="shared" si="0"/>
        <v>2200000</v>
      </c>
      <c r="AV9" s="30">
        <f t="shared" si="1"/>
        <v>275</v>
      </c>
    </row>
    <row r="10" spans="1:48" s="5" customFormat="1" x14ac:dyDescent="0.35">
      <c r="A10" s="12" t="s">
        <v>71</v>
      </c>
      <c r="B10" s="12" t="s">
        <v>53</v>
      </c>
      <c r="C10" s="20">
        <v>25000</v>
      </c>
      <c r="D10" s="20"/>
      <c r="E10" s="33">
        <f>ROUND(ver2_2019!E10,-4)</f>
        <v>2250000</v>
      </c>
      <c r="F10" s="33">
        <f>ROUND(ver2_2019!F10,-4)</f>
        <v>1990000</v>
      </c>
      <c r="G10" s="33">
        <f>ROUND(ver2_2019!G10,-4)</f>
        <v>0</v>
      </c>
      <c r="H10" s="33">
        <f>ROUND(ver2_2019!H10,-4)</f>
        <v>1680000</v>
      </c>
      <c r="I10" s="33">
        <f>ROUND(ver2_2019!I10,-4)</f>
        <v>0</v>
      </c>
      <c r="J10" s="33">
        <f>ROUND(ver2_2019!J10,-4)</f>
        <v>0</v>
      </c>
      <c r="K10" s="33">
        <f>ROUND(ver2_2019!K10,-4)</f>
        <v>0</v>
      </c>
      <c r="L10" s="33">
        <f>ROUND(ver2_2019!L10,-4)</f>
        <v>0</v>
      </c>
      <c r="M10" s="33">
        <f>ROUND(ver2_2019!M10,-4)</f>
        <v>0</v>
      </c>
      <c r="N10" s="33">
        <f>ROUND(ver2_2019!N10,-4)</f>
        <v>0</v>
      </c>
      <c r="O10" s="33">
        <f>ROUND(ver2_2019!O10,-4)</f>
        <v>0</v>
      </c>
      <c r="P10" s="33">
        <f>ROUND(ver2_2019!P10,-4)</f>
        <v>0</v>
      </c>
      <c r="Q10" s="33">
        <f>ROUND(ver2_2019!Q10,-4)</f>
        <v>0</v>
      </c>
      <c r="R10" s="33">
        <f>ROUND(ver2_2019!R10,-4)</f>
        <v>0</v>
      </c>
      <c r="S10" s="33">
        <f>ROUND(ver2_2019!S10,-4)</f>
        <v>0</v>
      </c>
      <c r="T10" s="33">
        <f>ROUND(ver2_2019!T10,-4)</f>
        <v>0</v>
      </c>
      <c r="U10" s="33">
        <f>ROUND(ver2_2019!U10,-4)</f>
        <v>0</v>
      </c>
      <c r="V10" s="33">
        <f>ROUND(ver2_2019!V10,-4)</f>
        <v>0</v>
      </c>
      <c r="W10" s="33">
        <f>ROUND(ver2_2019!W10,-4)</f>
        <v>0</v>
      </c>
      <c r="X10" s="33">
        <f>ROUND(ver2_2019!X10,-4)</f>
        <v>0</v>
      </c>
      <c r="Y10" s="33">
        <f>ROUND(ver2_2019!Y10,-4)</f>
        <v>0</v>
      </c>
      <c r="Z10" s="33">
        <f>ROUND(ver2_2019!Z10,-4)</f>
        <v>0</v>
      </c>
      <c r="AA10" s="33">
        <f>ROUND(ver2_2019!AA10,-4)</f>
        <v>0</v>
      </c>
      <c r="AB10" s="33">
        <f>ROUND(ver2_2019!AB10,-4)</f>
        <v>0</v>
      </c>
      <c r="AC10" s="33">
        <f>ROUND(ver2_2019!AC10,-4)</f>
        <v>0</v>
      </c>
      <c r="AD10" s="33">
        <f>ROUND(ver2_2019!AD10,-4)</f>
        <v>0</v>
      </c>
      <c r="AE10" s="33">
        <f>ROUND(ver2_2019!AE10,-4)</f>
        <v>0</v>
      </c>
      <c r="AF10" s="33">
        <f>ROUND(ver2_2019!AF10,-4)</f>
        <v>6000000</v>
      </c>
      <c r="AG10" s="33">
        <f>ROUND(ver2_2019!AG10,-4)</f>
        <v>0</v>
      </c>
      <c r="AH10" s="33">
        <f>ROUND(ver2_2019!AH10,-4)</f>
        <v>0</v>
      </c>
      <c r="AI10" s="33">
        <f>ROUND(ver2_2019!AI10,-4)</f>
        <v>0</v>
      </c>
      <c r="AJ10" s="33">
        <f>ROUND(ver2_2019!AJ10,-4)</f>
        <v>0</v>
      </c>
      <c r="AK10" s="33">
        <f>ROUND(ver2_2019!AK10,-4)</f>
        <v>0</v>
      </c>
      <c r="AL10" s="33">
        <f>ROUND(ver2_2019!AL10,-4)</f>
        <v>0</v>
      </c>
      <c r="AM10" s="33">
        <f>ROUND(ver2_2019!AM10,-4)</f>
        <v>0</v>
      </c>
      <c r="AN10" s="33">
        <f>ROUND(ver2_2019!AN10,-4)</f>
        <v>0</v>
      </c>
      <c r="AO10" s="33">
        <f>ROUND(ver2_2019!AO10,-4)</f>
        <v>330000</v>
      </c>
      <c r="AP10" s="33">
        <f>ROUND(ver2_2019!AP10,-4)</f>
        <v>0</v>
      </c>
      <c r="AQ10" s="33">
        <f>ROUND(ver2_2019!AQ10,-4)</f>
        <v>0</v>
      </c>
      <c r="AR10" s="33">
        <f>ROUND(ver2_2019!AR10,-4)</f>
        <v>330000</v>
      </c>
      <c r="AS10" s="33">
        <f>ROUND(ver2_2019!AS10,-4)</f>
        <v>0</v>
      </c>
      <c r="AT10" s="33">
        <f>ROUND(ver2_2019!AT10,-4)</f>
        <v>0</v>
      </c>
      <c r="AU10" s="28">
        <f t="shared" si="0"/>
        <v>12580000</v>
      </c>
      <c r="AV10" s="30">
        <f t="shared" si="1"/>
        <v>503.2</v>
      </c>
    </row>
    <row r="11" spans="1:48" s="5" customFormat="1" x14ac:dyDescent="0.35">
      <c r="A11" s="12" t="s">
        <v>20</v>
      </c>
      <c r="B11" s="12" t="s">
        <v>53</v>
      </c>
      <c r="C11" s="20">
        <v>21956</v>
      </c>
      <c r="D11" s="20">
        <v>2000</v>
      </c>
      <c r="E11" s="33">
        <f>ROUND(ver2_2019!E11,-4)</f>
        <v>1970000</v>
      </c>
      <c r="F11" s="33">
        <f>ROUND(ver2_2019!F11,-4)</f>
        <v>0</v>
      </c>
      <c r="G11" s="33">
        <f>ROUND(ver2_2019!G11,-4)</f>
        <v>0</v>
      </c>
      <c r="H11" s="33">
        <f>ROUND(ver2_2019!H11,-4)</f>
        <v>0</v>
      </c>
      <c r="I11" s="33">
        <f>ROUND(ver2_2019!I11,-4)</f>
        <v>780000</v>
      </c>
      <c r="J11" s="33">
        <f>ROUND(ver2_2019!J11,-4)</f>
        <v>0</v>
      </c>
      <c r="K11" s="33">
        <f>ROUND(ver2_2019!K11,-4)</f>
        <v>1610000</v>
      </c>
      <c r="L11" s="33">
        <f>ROUND(ver2_2019!L11,-4)</f>
        <v>270000</v>
      </c>
      <c r="M11" s="33">
        <f>ROUND(ver2_2019!M11,-4)</f>
        <v>0</v>
      </c>
      <c r="N11" s="33">
        <f>ROUND(ver2_2019!N11,-4)</f>
        <v>0</v>
      </c>
      <c r="O11" s="33">
        <f>ROUND(ver2_2019!O11,-4)</f>
        <v>0</v>
      </c>
      <c r="P11" s="33">
        <f>ROUND(ver2_2019!P11,-4)</f>
        <v>0</v>
      </c>
      <c r="Q11" s="33">
        <f>ROUND(ver2_2019!Q11,-4)</f>
        <v>0</v>
      </c>
      <c r="R11" s="33">
        <f>ROUND(ver2_2019!R11,-4)</f>
        <v>0</v>
      </c>
      <c r="S11" s="33">
        <f>ROUND(ver2_2019!S11,-4)</f>
        <v>0</v>
      </c>
      <c r="T11" s="33">
        <f>ROUND(ver2_2019!T11,-4)</f>
        <v>0</v>
      </c>
      <c r="U11" s="33">
        <f>ROUND(ver2_2019!U11,-4)</f>
        <v>0</v>
      </c>
      <c r="V11" s="33">
        <f>ROUND(ver2_2019!V11,-4)</f>
        <v>0</v>
      </c>
      <c r="W11" s="33">
        <f>ROUND(ver2_2019!W11,-4)</f>
        <v>0</v>
      </c>
      <c r="X11" s="33">
        <f>ROUND(ver2_2019!X11,-4)</f>
        <v>0</v>
      </c>
      <c r="Y11" s="33">
        <f>ROUND(ver2_2019!Y11,-4)</f>
        <v>0</v>
      </c>
      <c r="Z11" s="33">
        <f>ROUND(ver2_2019!Z11,-4)</f>
        <v>0</v>
      </c>
      <c r="AA11" s="33">
        <f>ROUND(ver2_2019!AA11,-4)</f>
        <v>950000</v>
      </c>
      <c r="AB11" s="33">
        <f>ROUND(ver2_2019!AB11,-4)</f>
        <v>0</v>
      </c>
      <c r="AC11" s="33">
        <f>ROUND(ver2_2019!AC11,-4)</f>
        <v>0</v>
      </c>
      <c r="AD11" s="33">
        <f>ROUND(ver2_2019!AD11,-4)</f>
        <v>0</v>
      </c>
      <c r="AE11" s="33">
        <f>ROUND(ver2_2019!AE11,-4)</f>
        <v>0</v>
      </c>
      <c r="AF11" s="33">
        <f>ROUND(ver2_2019!AF11,-4)</f>
        <v>0</v>
      </c>
      <c r="AG11" s="33">
        <f>ROUND(ver2_2019!AG11,-4)</f>
        <v>0</v>
      </c>
      <c r="AH11" s="33">
        <f>ROUND(ver2_2019!AH11,-4)</f>
        <v>0</v>
      </c>
      <c r="AI11" s="33">
        <f>ROUND(ver2_2019!AI11,-4)</f>
        <v>0</v>
      </c>
      <c r="AJ11" s="33">
        <f>ROUND(ver2_2019!AJ11,-4)</f>
        <v>0</v>
      </c>
      <c r="AK11" s="33">
        <f>ROUND(ver2_2019!AK11,-4)</f>
        <v>0</v>
      </c>
      <c r="AL11" s="33">
        <f>ROUND(ver2_2019!AL11,-4)</f>
        <v>0</v>
      </c>
      <c r="AM11" s="33">
        <f>ROUND(ver2_2019!AM11,-4)</f>
        <v>0</v>
      </c>
      <c r="AN11" s="33">
        <f>ROUND(ver2_2019!AN11,-4)</f>
        <v>0</v>
      </c>
      <c r="AO11" s="33">
        <f>ROUND(ver2_2019!AO11,-4)</f>
        <v>0</v>
      </c>
      <c r="AP11" s="33">
        <f>ROUND(ver2_2019!AP11,-4)</f>
        <v>0</v>
      </c>
      <c r="AQ11" s="33">
        <f>ROUND(ver2_2019!AQ11,-4)</f>
        <v>0</v>
      </c>
      <c r="AR11" s="33">
        <f>ROUND(ver2_2019!AR11,-4)</f>
        <v>0</v>
      </c>
      <c r="AS11" s="33">
        <f>ROUND(ver2_2019!AS11,-4)</f>
        <v>0</v>
      </c>
      <c r="AT11" s="33">
        <f>ROUND(ver2_2019!AT11,-4)</f>
        <v>0</v>
      </c>
      <c r="AU11" s="28">
        <f t="shared" si="0"/>
        <v>5580000</v>
      </c>
      <c r="AV11" s="30">
        <f t="shared" si="1"/>
        <v>254.14465294224814</v>
      </c>
    </row>
    <row r="12" spans="1:48" s="5" customFormat="1" x14ac:dyDescent="0.35">
      <c r="A12" s="12" t="s">
        <v>79</v>
      </c>
      <c r="B12" s="12" t="s">
        <v>53</v>
      </c>
      <c r="C12" s="20">
        <v>7400</v>
      </c>
      <c r="D12" s="20">
        <v>7400</v>
      </c>
      <c r="E12" s="33">
        <f>ROUND(ver2_2019!E12,-4)</f>
        <v>670000</v>
      </c>
      <c r="F12" s="33">
        <f>ROUND(ver2_2019!F12,-4)</f>
        <v>0</v>
      </c>
      <c r="G12" s="33">
        <f>ROUND(ver2_2019!G12,-4)</f>
        <v>0</v>
      </c>
      <c r="H12" s="33">
        <f>ROUND(ver2_2019!H12,-4)</f>
        <v>0</v>
      </c>
      <c r="I12" s="33">
        <f>ROUND(ver2_2019!I12,-4)</f>
        <v>0</v>
      </c>
      <c r="J12" s="33">
        <f>ROUND(ver2_2019!J12,-4)</f>
        <v>420000</v>
      </c>
      <c r="K12" s="33">
        <f>ROUND(ver2_2019!K12,-4)</f>
        <v>540000</v>
      </c>
      <c r="L12" s="33">
        <f>ROUND(ver2_2019!L12,-4)</f>
        <v>0</v>
      </c>
      <c r="M12" s="33">
        <f>ROUND(ver2_2019!M12,-4)</f>
        <v>340000</v>
      </c>
      <c r="N12" s="33">
        <f>ROUND(ver2_2019!N12,-4)</f>
        <v>0</v>
      </c>
      <c r="O12" s="33">
        <f>ROUND(ver2_2019!O12,-4)</f>
        <v>0</v>
      </c>
      <c r="P12" s="33">
        <f>ROUND(ver2_2019!P12,-4)</f>
        <v>0</v>
      </c>
      <c r="Q12" s="33">
        <f>ROUND(ver2_2019!Q12,-4)</f>
        <v>0</v>
      </c>
      <c r="R12" s="33">
        <f>ROUND(ver2_2019!R12,-4)</f>
        <v>0</v>
      </c>
      <c r="S12" s="33">
        <f>ROUND(ver2_2019!S12,-4)</f>
        <v>0</v>
      </c>
      <c r="T12" s="33">
        <f>ROUND(ver2_2019!T12,-4)</f>
        <v>0</v>
      </c>
      <c r="U12" s="33">
        <f>ROUND(ver2_2019!U12,-4)</f>
        <v>0</v>
      </c>
      <c r="V12" s="33">
        <f>ROUND(ver2_2019!V12,-4)</f>
        <v>0</v>
      </c>
      <c r="W12" s="33">
        <f>ROUND(ver2_2019!W12,-4)</f>
        <v>100000</v>
      </c>
      <c r="X12" s="33">
        <f>ROUND(ver2_2019!X12,-4)</f>
        <v>0</v>
      </c>
      <c r="Y12" s="33">
        <f>ROUND(ver2_2019!Y12,-4)</f>
        <v>0</v>
      </c>
      <c r="Z12" s="33">
        <f>ROUND(ver2_2019!Z12,-4)</f>
        <v>0</v>
      </c>
      <c r="AA12" s="33">
        <f>ROUND(ver2_2019!AA12,-4)</f>
        <v>320000</v>
      </c>
      <c r="AB12" s="33">
        <f>ROUND(ver2_2019!AB12,-4)</f>
        <v>0</v>
      </c>
      <c r="AC12" s="33">
        <f>ROUND(ver2_2019!AC12,-4)</f>
        <v>0</v>
      </c>
      <c r="AD12" s="33">
        <f>ROUND(ver2_2019!AD12,-4)</f>
        <v>0</v>
      </c>
      <c r="AE12" s="33">
        <f>ROUND(ver2_2019!AE12,-4)</f>
        <v>0</v>
      </c>
      <c r="AF12" s="33">
        <f>ROUND(ver2_2019!AF12,-4)</f>
        <v>0</v>
      </c>
      <c r="AG12" s="33">
        <f>ROUND(ver2_2019!AG12,-4)</f>
        <v>0</v>
      </c>
      <c r="AH12" s="33">
        <f>ROUND(ver2_2019!AH12,-4)</f>
        <v>0</v>
      </c>
      <c r="AI12" s="33">
        <f>ROUND(ver2_2019!AI12,-4)</f>
        <v>90000</v>
      </c>
      <c r="AJ12" s="33">
        <f>ROUND(ver2_2019!AJ12,-4)</f>
        <v>20000</v>
      </c>
      <c r="AK12" s="33">
        <f>ROUND(ver2_2019!AK12,-4)</f>
        <v>80000</v>
      </c>
      <c r="AL12" s="33">
        <f>ROUND(ver2_2019!AL12,-4)</f>
        <v>410000</v>
      </c>
      <c r="AM12" s="33">
        <f>ROUND(ver2_2019!AM12,-4)</f>
        <v>0</v>
      </c>
      <c r="AN12" s="33">
        <f>ROUND(ver2_2019!AN12,-4)</f>
        <v>0</v>
      </c>
      <c r="AO12" s="33">
        <f>ROUND(ver2_2019!AO12,-4)</f>
        <v>0</v>
      </c>
      <c r="AP12" s="33">
        <f>ROUND(ver2_2019!AP12,-4)</f>
        <v>0</v>
      </c>
      <c r="AQ12" s="33">
        <f>ROUND(ver2_2019!AQ12,-4)</f>
        <v>0</v>
      </c>
      <c r="AR12" s="33">
        <f>ROUND(ver2_2019!AR12,-4)</f>
        <v>0</v>
      </c>
      <c r="AS12" s="33">
        <f>ROUND(ver2_2019!AS12,-4)</f>
        <v>0</v>
      </c>
      <c r="AT12" s="33">
        <f>ROUND(ver2_2019!AT12,-4)</f>
        <v>0</v>
      </c>
      <c r="AU12" s="28">
        <f t="shared" si="0"/>
        <v>2990000</v>
      </c>
      <c r="AV12" s="30">
        <f t="shared" si="1"/>
        <v>404.05405405405406</v>
      </c>
    </row>
    <row r="13" spans="1:48" s="5" customFormat="1" x14ac:dyDescent="0.35">
      <c r="A13" s="12" t="s">
        <v>81</v>
      </c>
      <c r="B13" s="12" t="s">
        <v>52</v>
      </c>
      <c r="C13" s="20">
        <v>2065</v>
      </c>
      <c r="D13" s="20">
        <v>0</v>
      </c>
      <c r="E13" s="33">
        <f>ROUND(ver2_2019!E13,-4)</f>
        <v>190000</v>
      </c>
      <c r="F13" s="33">
        <f>ROUND(ver2_2019!F13,-4)</f>
        <v>0</v>
      </c>
      <c r="G13" s="33">
        <f>ROUND(ver2_2019!G13,-4)</f>
        <v>0</v>
      </c>
      <c r="H13" s="33">
        <f>ROUND(ver2_2019!H13,-4)</f>
        <v>0</v>
      </c>
      <c r="I13" s="33">
        <f>ROUND(ver2_2019!I13,-4)</f>
        <v>0</v>
      </c>
      <c r="J13" s="33">
        <f>ROUND(ver2_2019!J13,-4)</f>
        <v>0</v>
      </c>
      <c r="K13" s="33">
        <f>ROUND(ver2_2019!K13,-4)</f>
        <v>150000</v>
      </c>
      <c r="L13" s="33">
        <f>ROUND(ver2_2019!L13,-4)</f>
        <v>0</v>
      </c>
      <c r="M13" s="33">
        <f>ROUND(ver2_2019!M13,-4)</f>
        <v>0</v>
      </c>
      <c r="N13" s="33">
        <f>ROUND(ver2_2019!N13,-4)</f>
        <v>0</v>
      </c>
      <c r="O13" s="33">
        <f>ROUND(ver2_2019!O13,-4)</f>
        <v>0</v>
      </c>
      <c r="P13" s="33">
        <f>ROUND(ver2_2019!P13,-4)</f>
        <v>0</v>
      </c>
      <c r="Q13" s="33">
        <f>ROUND(ver2_2019!Q13,-4)</f>
        <v>0</v>
      </c>
      <c r="R13" s="33">
        <f>ROUND(ver2_2019!R13,-4)</f>
        <v>0</v>
      </c>
      <c r="S13" s="33">
        <f>ROUND(ver2_2019!S13,-4)</f>
        <v>0</v>
      </c>
      <c r="T13" s="33">
        <f>ROUND(ver2_2019!T13,-4)</f>
        <v>0</v>
      </c>
      <c r="U13" s="33">
        <f>ROUND(ver2_2019!U13,-4)</f>
        <v>0</v>
      </c>
      <c r="V13" s="33">
        <f>ROUND(ver2_2019!V13,-4)</f>
        <v>230000</v>
      </c>
      <c r="W13" s="33">
        <f>ROUND(ver2_2019!W13,-4)</f>
        <v>0</v>
      </c>
      <c r="X13" s="33">
        <f>ROUND(ver2_2019!X13,-4)</f>
        <v>0</v>
      </c>
      <c r="Y13" s="33">
        <f>ROUND(ver2_2019!Y13,-4)</f>
        <v>0</v>
      </c>
      <c r="Z13" s="33">
        <f>ROUND(ver2_2019!Z13,-4)</f>
        <v>0</v>
      </c>
      <c r="AA13" s="33">
        <f>ROUND(ver2_2019!AA13,-4)</f>
        <v>0</v>
      </c>
      <c r="AB13" s="33">
        <f>ROUND(ver2_2019!AB13,-4)</f>
        <v>140000</v>
      </c>
      <c r="AC13" s="33">
        <f>ROUND(ver2_2019!AC13,-4)</f>
        <v>0</v>
      </c>
      <c r="AD13" s="33">
        <f>ROUND(ver2_2019!AD13,-4)</f>
        <v>0</v>
      </c>
      <c r="AE13" s="33">
        <f>ROUND(ver2_2019!AE13,-4)</f>
        <v>0</v>
      </c>
      <c r="AF13" s="33">
        <f>ROUND(ver2_2019!AF13,-4)</f>
        <v>0</v>
      </c>
      <c r="AG13" s="33"/>
      <c r="AH13" s="33">
        <f>ROUND(ver2_2019!AH13,-4)</f>
        <v>0</v>
      </c>
      <c r="AI13" s="33">
        <f>ROUND(ver2_2019!AI13,-4)</f>
        <v>20000</v>
      </c>
      <c r="AJ13" s="33">
        <f>ROUND(ver2_2019!AJ13,-4)</f>
        <v>10000</v>
      </c>
      <c r="AK13" s="33">
        <f>ROUND(ver2_2019!AK13,-4)</f>
        <v>0</v>
      </c>
      <c r="AL13" s="33">
        <f>ROUND(ver2_2019!AL13,-4)</f>
        <v>0</v>
      </c>
      <c r="AM13" s="33">
        <f>ROUND(ver2_2019!AM13,-4)</f>
        <v>0</v>
      </c>
      <c r="AN13" s="33">
        <f>ROUND(ver2_2019!AN13,-4)</f>
        <v>0</v>
      </c>
      <c r="AO13" s="33">
        <f>ROUND(ver2_2019!AO13,-4)</f>
        <v>0</v>
      </c>
      <c r="AP13" s="33">
        <f>ROUND(ver2_2019!AP13,-4)</f>
        <v>0</v>
      </c>
      <c r="AQ13" s="33">
        <f>ROUND(ver2_2019!AQ13,-4)</f>
        <v>0</v>
      </c>
      <c r="AR13" s="33">
        <f>ROUND(ver2_2019!AR13,-4)</f>
        <v>0</v>
      </c>
      <c r="AS13" s="33">
        <f>ROUND(ver2_2019!AS13,-4)</f>
        <v>0</v>
      </c>
      <c r="AT13" s="33">
        <f>ROUND(ver2_2019!AT13,-4)</f>
        <v>0</v>
      </c>
      <c r="AU13" s="28">
        <f t="shared" si="0"/>
        <v>740000</v>
      </c>
      <c r="AV13" s="30">
        <f t="shared" si="1"/>
        <v>358.3535108958838</v>
      </c>
    </row>
    <row r="14" spans="1:48" s="5" customFormat="1" x14ac:dyDescent="0.35">
      <c r="A14" s="12" t="s">
        <v>82</v>
      </c>
      <c r="B14" s="12" t="s">
        <v>53</v>
      </c>
      <c r="C14" s="20">
        <v>1098</v>
      </c>
      <c r="D14" s="20">
        <v>0</v>
      </c>
      <c r="E14" s="33">
        <f>ROUND(ver2_2019!E14,-4)</f>
        <v>100000</v>
      </c>
      <c r="F14" s="33">
        <f>ROUND(ver2_2019!F14,-4)</f>
        <v>0</v>
      </c>
      <c r="G14" s="33">
        <f>ROUND(ver2_2019!G14,-4)</f>
        <v>0</v>
      </c>
      <c r="H14" s="33">
        <f>ROUND(ver2_2019!H14,-4)</f>
        <v>0</v>
      </c>
      <c r="I14" s="33">
        <f>ROUND(ver2_2019!I14,-4)</f>
        <v>0</v>
      </c>
      <c r="J14" s="33">
        <f>ROUND(ver2_2019!J14,-4)</f>
        <v>0</v>
      </c>
      <c r="K14" s="33">
        <f>ROUND(ver2_2019!K14,-4)</f>
        <v>80000</v>
      </c>
      <c r="L14" s="33">
        <f>ROUND(ver2_2019!L14,-4)</f>
        <v>0</v>
      </c>
      <c r="M14" s="33">
        <f>ROUND(ver2_2019!M14,-4)</f>
        <v>0</v>
      </c>
      <c r="N14" s="33">
        <f>ROUND(ver2_2019!N14,-4)</f>
        <v>0</v>
      </c>
      <c r="O14" s="33">
        <f>ROUND(ver2_2019!O14,-4)</f>
        <v>0</v>
      </c>
      <c r="P14" s="33">
        <f>ROUND(ver2_2019!P14,-4)</f>
        <v>0</v>
      </c>
      <c r="Q14" s="33">
        <f>ROUND(ver2_2019!Q14,-4)</f>
        <v>0</v>
      </c>
      <c r="R14" s="33">
        <f>ROUND(ver2_2019!R14,-4)</f>
        <v>0</v>
      </c>
      <c r="S14" s="33">
        <f>ROUND(ver2_2019!S14,-4)</f>
        <v>0</v>
      </c>
      <c r="T14" s="33">
        <f>ROUND(ver2_2019!T14,-4)</f>
        <v>0</v>
      </c>
      <c r="U14" s="33">
        <f>ROUND(ver2_2019!U14,-4)</f>
        <v>0</v>
      </c>
      <c r="V14" s="33">
        <f>ROUND(ver2_2019!V14,-4)</f>
        <v>120000</v>
      </c>
      <c r="W14" s="33">
        <f>ROUND(ver2_2019!W14,-4)</f>
        <v>0</v>
      </c>
      <c r="X14" s="33">
        <f>ROUND(ver2_2019!X14,-4)</f>
        <v>0</v>
      </c>
      <c r="Y14" s="33">
        <f>ROUND(ver2_2019!Y14,-4)</f>
        <v>0</v>
      </c>
      <c r="Z14" s="33">
        <f>ROUND(ver2_2019!Z14,-4)</f>
        <v>0</v>
      </c>
      <c r="AA14" s="33">
        <f>ROUND(ver2_2019!AA14,-4)</f>
        <v>0</v>
      </c>
      <c r="AB14" s="33">
        <f>ROUND(ver2_2019!AB14,-4)</f>
        <v>70000</v>
      </c>
      <c r="AC14" s="33">
        <f>ROUND(ver2_2019!AC14,-4)</f>
        <v>0</v>
      </c>
      <c r="AD14" s="33">
        <f>ROUND(ver2_2019!AD14,-4)</f>
        <v>0</v>
      </c>
      <c r="AE14" s="33">
        <f>ROUND(ver2_2019!AE14,-4)</f>
        <v>0</v>
      </c>
      <c r="AF14" s="33">
        <f>ROUND(ver2_2019!AF14,-4)</f>
        <v>0</v>
      </c>
      <c r="AG14" s="33">
        <f>ROUND(ver2_2019!AG14,-4)</f>
        <v>0</v>
      </c>
      <c r="AH14" s="33">
        <f>ROUND(ver2_2019!AH14,-4)</f>
        <v>0</v>
      </c>
      <c r="AI14" s="33">
        <f>ROUND(ver2_2019!AI14,-4)</f>
        <v>10000</v>
      </c>
      <c r="AJ14" s="33">
        <f>ROUND(ver2_2019!AJ14,-4)</f>
        <v>0</v>
      </c>
      <c r="AK14" s="33">
        <f>ROUND(ver2_2019!AK14,-4)</f>
        <v>0</v>
      </c>
      <c r="AL14" s="33">
        <f>ROUND(ver2_2019!AL14,-4)</f>
        <v>0</v>
      </c>
      <c r="AM14" s="33">
        <f>ROUND(ver2_2019!AM14,-4)</f>
        <v>0</v>
      </c>
      <c r="AN14" s="33">
        <f>ROUND(ver2_2019!AN14,-4)</f>
        <v>0</v>
      </c>
      <c r="AO14" s="33">
        <f>ROUND(ver2_2019!AO14,-4)</f>
        <v>0</v>
      </c>
      <c r="AP14" s="33">
        <f>ROUND(ver2_2019!AP14,-4)</f>
        <v>0</v>
      </c>
      <c r="AQ14" s="33">
        <f>ROUND(ver2_2019!AQ14,-4)</f>
        <v>0</v>
      </c>
      <c r="AR14" s="33">
        <f>ROUND(ver2_2019!AR14,-4)</f>
        <v>0</v>
      </c>
      <c r="AS14" s="33">
        <f>ROUND(ver2_2019!AS14,-4)</f>
        <v>0</v>
      </c>
      <c r="AT14" s="33">
        <f>ROUND(ver2_2019!AT14,-4)</f>
        <v>0</v>
      </c>
      <c r="AU14" s="28">
        <f t="shared" si="0"/>
        <v>380000</v>
      </c>
      <c r="AV14" s="30">
        <f t="shared" si="1"/>
        <v>346.08378870673954</v>
      </c>
    </row>
    <row r="15" spans="1:48" s="5" customFormat="1" x14ac:dyDescent="0.35">
      <c r="A15" s="12" t="s">
        <v>80</v>
      </c>
      <c r="B15" s="12" t="s">
        <v>53</v>
      </c>
      <c r="C15" s="20">
        <v>4120</v>
      </c>
      <c r="D15" s="20">
        <v>4120</v>
      </c>
      <c r="E15" s="33">
        <f>ROUND(ver2_2019!E15,-4)</f>
        <v>370000</v>
      </c>
      <c r="F15" s="33">
        <f>ROUND(ver2_2019!F15,-4)</f>
        <v>0</v>
      </c>
      <c r="G15" s="33">
        <f>ROUND(ver2_2019!G15,-4)</f>
        <v>0</v>
      </c>
      <c r="H15" s="33">
        <f>ROUND(ver2_2019!H15,-4)</f>
        <v>0</v>
      </c>
      <c r="I15" s="33">
        <f>ROUND(ver2_2019!I15,-4)</f>
        <v>0</v>
      </c>
      <c r="J15" s="33">
        <f>ROUND(ver2_2019!J15,-4)</f>
        <v>240000</v>
      </c>
      <c r="K15" s="33">
        <f>ROUND(ver2_2019!K15,-4)</f>
        <v>300000</v>
      </c>
      <c r="L15" s="33">
        <f>ROUND(ver2_2019!L15,-4)</f>
        <v>0</v>
      </c>
      <c r="M15" s="33">
        <f>ROUND(ver2_2019!M15,-4)</f>
        <v>190000</v>
      </c>
      <c r="N15" s="33">
        <f>ROUND(ver2_2019!N15,-4)</f>
        <v>0</v>
      </c>
      <c r="O15" s="33">
        <f>ROUND(ver2_2019!O15,-4)</f>
        <v>0</v>
      </c>
      <c r="P15" s="33">
        <f>ROUND(ver2_2019!P15,-4)</f>
        <v>0</v>
      </c>
      <c r="Q15" s="33">
        <f>ROUND(ver2_2019!Q15,-4)</f>
        <v>0</v>
      </c>
      <c r="R15" s="33">
        <f>ROUND(ver2_2019!R15,-4)</f>
        <v>0</v>
      </c>
      <c r="S15" s="33">
        <f>ROUND(ver2_2019!S15,-4)</f>
        <v>0</v>
      </c>
      <c r="T15" s="33">
        <f>ROUND(ver2_2019!T15,-4)</f>
        <v>0</v>
      </c>
      <c r="U15" s="33">
        <f>ROUND(ver2_2019!U15,-4)</f>
        <v>0</v>
      </c>
      <c r="V15" s="33">
        <f>ROUND(ver2_2019!V15,-4)</f>
        <v>0</v>
      </c>
      <c r="W15" s="33">
        <f>ROUND(ver2_2019!W15,-4)</f>
        <v>60000</v>
      </c>
      <c r="X15" s="33">
        <f>ROUND(ver2_2019!X15,-4)</f>
        <v>0</v>
      </c>
      <c r="Y15" s="33">
        <f>ROUND(ver2_2019!Y15,-4)</f>
        <v>0</v>
      </c>
      <c r="Z15" s="33">
        <f>ROUND(ver2_2019!Z15,-4)</f>
        <v>0</v>
      </c>
      <c r="AA15" s="33">
        <f>ROUND(ver2_2019!AA15,-4)</f>
        <v>180000</v>
      </c>
      <c r="AB15" s="33">
        <f>ROUND(ver2_2019!AB15,-4)</f>
        <v>0</v>
      </c>
      <c r="AC15" s="33">
        <f>ROUND(ver2_2019!AC15,-4)</f>
        <v>0</v>
      </c>
      <c r="AD15" s="33">
        <f>ROUND(ver2_2019!AD15,-4)</f>
        <v>0</v>
      </c>
      <c r="AE15" s="33">
        <f>ROUND(ver2_2019!AE15,-4)</f>
        <v>0</v>
      </c>
      <c r="AF15" s="33">
        <f>ROUND(ver2_2019!AF15,-4)</f>
        <v>0</v>
      </c>
      <c r="AG15" s="33">
        <f>ROUND(ver2_2019!AG15,-4)</f>
        <v>0</v>
      </c>
      <c r="AH15" s="33">
        <f>ROUND(ver2_2019!AH15,-4)</f>
        <v>0</v>
      </c>
      <c r="AI15" s="33">
        <f>ROUND(ver2_2019!AI15,-4)</f>
        <v>50000</v>
      </c>
      <c r="AJ15" s="33">
        <f>ROUND(ver2_2019!AJ15,-4)</f>
        <v>10000</v>
      </c>
      <c r="AK15" s="33">
        <f>ROUND(ver2_2019!AK15,-4)</f>
        <v>50000</v>
      </c>
      <c r="AL15" s="33">
        <f>ROUND(ver2_2019!AL15,-4)</f>
        <v>230000</v>
      </c>
      <c r="AM15" s="33">
        <f>ROUND(ver2_2019!AM15,-4)</f>
        <v>0</v>
      </c>
      <c r="AN15" s="33">
        <f>ROUND(ver2_2019!AN15,-4)</f>
        <v>0</v>
      </c>
      <c r="AO15" s="33">
        <f>ROUND(ver2_2019!AO15,-4)</f>
        <v>0</v>
      </c>
      <c r="AP15" s="33">
        <f>ROUND(ver2_2019!AP15,-4)</f>
        <v>0</v>
      </c>
      <c r="AQ15" s="33">
        <f>ROUND(ver2_2019!AQ15,-4)</f>
        <v>0</v>
      </c>
      <c r="AR15" s="33">
        <f>ROUND(ver2_2019!AR15,-4)</f>
        <v>0</v>
      </c>
      <c r="AS15" s="33">
        <f>ROUND(ver2_2019!AS15,-4)</f>
        <v>0</v>
      </c>
      <c r="AT15" s="33">
        <f>ROUND(ver2_2019!AT15,-4)</f>
        <v>0</v>
      </c>
      <c r="AU15" s="28">
        <f t="shared" si="0"/>
        <v>1680000</v>
      </c>
      <c r="AV15" s="30">
        <f t="shared" si="1"/>
        <v>407.76699029126212</v>
      </c>
    </row>
    <row r="16" spans="1:48" s="5" customFormat="1" x14ac:dyDescent="0.35">
      <c r="A16" s="12" t="s">
        <v>83</v>
      </c>
      <c r="B16" s="12" t="s">
        <v>53</v>
      </c>
      <c r="C16" s="20">
        <v>12809</v>
      </c>
      <c r="D16" s="20">
        <v>11699</v>
      </c>
      <c r="E16" s="33">
        <f>ROUND(ver2_2019!E16,-4)</f>
        <v>1150000</v>
      </c>
      <c r="F16" s="33">
        <f>ROUND(ver2_2019!F16,-4)</f>
        <v>0</v>
      </c>
      <c r="G16" s="33">
        <f>ROUND(ver2_2019!G16,-4)</f>
        <v>0</v>
      </c>
      <c r="H16" s="33">
        <f>ROUND(ver2_2019!H16,-4)</f>
        <v>0</v>
      </c>
      <c r="I16" s="33">
        <f>ROUND(ver2_2019!I16,-4)</f>
        <v>0</v>
      </c>
      <c r="J16" s="33">
        <f>ROUND(ver2_2019!J16,-4)</f>
        <v>730000</v>
      </c>
      <c r="K16" s="33">
        <f>ROUND(ver2_2019!K16,-4)</f>
        <v>940000</v>
      </c>
      <c r="L16" s="33">
        <f>ROUND(ver2_2019!L16,-4)</f>
        <v>0</v>
      </c>
      <c r="M16" s="33">
        <f>ROUND(ver2_2019!M16,-4)</f>
        <v>590000</v>
      </c>
      <c r="N16" s="33">
        <f>ROUND(ver2_2019!N16,-4)</f>
        <v>0</v>
      </c>
      <c r="O16" s="33">
        <f>ROUND(ver2_2019!O16,-4)</f>
        <v>0</v>
      </c>
      <c r="P16" s="33">
        <f>ROUND(ver2_2019!P16,-4)</f>
        <v>0</v>
      </c>
      <c r="Q16" s="33">
        <f>ROUND(ver2_2019!Q16,-4)</f>
        <v>0</v>
      </c>
      <c r="R16" s="33">
        <f>ROUND(ver2_2019!R16,-4)</f>
        <v>0</v>
      </c>
      <c r="S16" s="33">
        <f>ROUND(ver2_2019!S16,-4)</f>
        <v>0</v>
      </c>
      <c r="T16" s="33">
        <f>ROUND(ver2_2019!T16,-4)</f>
        <v>0</v>
      </c>
      <c r="U16" s="33">
        <f>ROUND(ver2_2019!U16,-4)</f>
        <v>0</v>
      </c>
      <c r="V16" s="33">
        <f>ROUND(ver2_2019!V16,-4)</f>
        <v>0</v>
      </c>
      <c r="W16" s="33">
        <f>ROUND(ver2_2019!W16,-4)</f>
        <v>0</v>
      </c>
      <c r="X16" s="33">
        <f>ROUND(ver2_2019!X16,-4)</f>
        <v>0</v>
      </c>
      <c r="Y16" s="33">
        <f>ROUND(ver2_2019!Y16,-4)</f>
        <v>0</v>
      </c>
      <c r="Z16" s="33">
        <f>ROUND(ver2_2019!Z16,-4)</f>
        <v>0</v>
      </c>
      <c r="AA16" s="33">
        <f>ROUND(ver2_2019!AA16,-4)</f>
        <v>550000</v>
      </c>
      <c r="AB16" s="33">
        <f>ROUND(ver2_2019!AB16,-4)</f>
        <v>870000</v>
      </c>
      <c r="AC16" s="33">
        <f>ROUND(ver2_2019!AC16,-4)</f>
        <v>530000</v>
      </c>
      <c r="AD16" s="33">
        <f>ROUND(ver2_2019!AD16,-4)</f>
        <v>60000</v>
      </c>
      <c r="AE16" s="33">
        <f>ROUND(ver2_2019!AE16,-4)</f>
        <v>0</v>
      </c>
      <c r="AF16" s="33">
        <f>ROUND(ver2_2019!AF16,-4)</f>
        <v>0</v>
      </c>
      <c r="AG16" s="33">
        <f>ROUND(ver2_2019!AG16,-4)</f>
        <v>0</v>
      </c>
      <c r="AH16" s="33">
        <f>ROUND(ver2_2019!AH16,-4)</f>
        <v>0</v>
      </c>
      <c r="AI16" s="33">
        <f>ROUND(ver2_2019!AI16,-4)</f>
        <v>150000</v>
      </c>
      <c r="AJ16" s="33">
        <f>ROUND(ver2_2019!AJ16,-4)</f>
        <v>40000</v>
      </c>
      <c r="AK16" s="33">
        <f>ROUND(ver2_2019!AK16,-4)</f>
        <v>140000</v>
      </c>
      <c r="AL16" s="33">
        <f>ROUND(ver2_2019!AL16,-4)</f>
        <v>700000</v>
      </c>
      <c r="AM16" s="33">
        <f>ROUND(ver2_2019!AM16,-4)</f>
        <v>0</v>
      </c>
      <c r="AN16" s="33">
        <f>ROUND(ver2_2019!AN16,-4)</f>
        <v>0</v>
      </c>
      <c r="AO16" s="33">
        <f>ROUND(ver2_2019!AO16,-4)</f>
        <v>0</v>
      </c>
      <c r="AP16" s="33">
        <f>ROUND(ver2_2019!AP16,-4)</f>
        <v>0</v>
      </c>
      <c r="AQ16" s="33">
        <f>ROUND(ver2_2019!AQ16,-4)</f>
        <v>0</v>
      </c>
      <c r="AR16" s="33">
        <f>ROUND(ver2_2019!AR16,-4)</f>
        <v>0</v>
      </c>
      <c r="AS16" s="33">
        <f>ROUND(ver2_2019!AS16,-4)</f>
        <v>0</v>
      </c>
      <c r="AT16" s="33">
        <f>ROUND(ver2_2019!AT16,-4)</f>
        <v>0</v>
      </c>
      <c r="AU16" s="28">
        <f t="shared" si="0"/>
        <v>6450000</v>
      </c>
      <c r="AV16" s="30">
        <f t="shared" si="1"/>
        <v>503.5521898665001</v>
      </c>
    </row>
    <row r="17" spans="1:48" s="5" customFormat="1" x14ac:dyDescent="0.35">
      <c r="A17" s="12" t="s">
        <v>21</v>
      </c>
      <c r="B17" s="12" t="s">
        <v>53</v>
      </c>
      <c r="C17" s="20">
        <v>12498</v>
      </c>
      <c r="D17" s="20">
        <v>12498</v>
      </c>
      <c r="E17" s="33">
        <f>ROUND(ver2_2019!E17,-4)</f>
        <v>1120000</v>
      </c>
      <c r="F17" s="33">
        <f>ROUND(ver2_2019!F17,-4)</f>
        <v>0</v>
      </c>
      <c r="G17" s="33">
        <f>ROUND(ver2_2019!G17,-4)</f>
        <v>980000</v>
      </c>
      <c r="H17" s="33">
        <f>ROUND(ver2_2019!H17,-4)</f>
        <v>0</v>
      </c>
      <c r="I17" s="33">
        <f>ROUND(ver2_2019!I17,-4)</f>
        <v>440000</v>
      </c>
      <c r="J17" s="33">
        <f>ROUND(ver2_2019!J17,-4)</f>
        <v>0</v>
      </c>
      <c r="K17" s="33">
        <f>ROUND(ver2_2019!K17,-4)</f>
        <v>910000</v>
      </c>
      <c r="L17" s="33">
        <f>ROUND(ver2_2019!L17,-4)</f>
        <v>150000</v>
      </c>
      <c r="M17" s="33">
        <f>ROUND(ver2_2019!M17,-4)</f>
        <v>0</v>
      </c>
      <c r="N17" s="33">
        <f>ROUND(ver2_2019!N17,-4)</f>
        <v>0</v>
      </c>
      <c r="O17" s="33">
        <f>ROUND(ver2_2019!O17,-4)</f>
        <v>0</v>
      </c>
      <c r="P17" s="33">
        <f>ROUND(ver2_2019!P17,-4)</f>
        <v>750000</v>
      </c>
      <c r="Q17" s="33">
        <f>ROUND(ver2_2019!Q17,-4)</f>
        <v>660000</v>
      </c>
      <c r="R17" s="33">
        <f>ROUND(ver2_2019!R17,-4)</f>
        <v>670000</v>
      </c>
      <c r="S17" s="33">
        <f>ROUND(ver2_2019!S17,-4)</f>
        <v>0</v>
      </c>
      <c r="T17" s="33">
        <f>ROUND(ver2_2019!T17,-4)</f>
        <v>0</v>
      </c>
      <c r="U17" s="33">
        <f>ROUND(ver2_2019!U17,-4)</f>
        <v>0</v>
      </c>
      <c r="V17" s="33">
        <f>ROUND(ver2_2019!V17,-4)</f>
        <v>0</v>
      </c>
      <c r="W17" s="33">
        <f>ROUND(ver2_2019!W17,-4)</f>
        <v>0</v>
      </c>
      <c r="X17" s="33">
        <f>ROUND(ver2_2019!X17,-4)</f>
        <v>0</v>
      </c>
      <c r="Y17" s="33">
        <f>ROUND(ver2_2019!Y17,-4)</f>
        <v>570000</v>
      </c>
      <c r="Z17" s="33">
        <f>ROUND(ver2_2019!Z17,-4)</f>
        <v>240000</v>
      </c>
      <c r="AA17" s="33">
        <f>ROUND(ver2_2019!AA17,-4)</f>
        <v>0</v>
      </c>
      <c r="AB17" s="33">
        <f>ROUND(ver2_2019!AB17,-4)</f>
        <v>0</v>
      </c>
      <c r="AC17" s="33">
        <f>ROUND(ver2_2019!AC17,-4)</f>
        <v>0</v>
      </c>
      <c r="AD17" s="33">
        <f>ROUND(ver2_2019!AD17,-4)</f>
        <v>0</v>
      </c>
      <c r="AE17" s="33">
        <f>ROUND(ver2_2019!AE17,-4)</f>
        <v>130000</v>
      </c>
      <c r="AF17" s="33">
        <f>ROUND(ver2_2019!AF17,-4)</f>
        <v>0</v>
      </c>
      <c r="AG17" s="33">
        <f>ROUND(ver2_2019!AG17,-4)</f>
        <v>0</v>
      </c>
      <c r="AH17" s="33">
        <f>ROUND(ver2_2019!AH17,-4)</f>
        <v>0</v>
      </c>
      <c r="AI17" s="33">
        <f>ROUND(ver2_2019!AI17,-4)</f>
        <v>0</v>
      </c>
      <c r="AJ17" s="33">
        <f>ROUND(ver2_2019!AJ17,-4)</f>
        <v>0</v>
      </c>
      <c r="AK17" s="33">
        <f>ROUND(ver2_2019!AK17,-4)</f>
        <v>0</v>
      </c>
      <c r="AL17" s="33">
        <f>ROUND(ver2_2019!AL17,-4)</f>
        <v>0</v>
      </c>
      <c r="AM17" s="33">
        <f>ROUND(ver2_2019!AM17,-4)</f>
        <v>0</v>
      </c>
      <c r="AN17" s="33">
        <f>ROUND(ver2_2019!AN17,-4)</f>
        <v>0</v>
      </c>
      <c r="AO17" s="33">
        <f>ROUND(ver2_2019!AO17,-4)</f>
        <v>0</v>
      </c>
      <c r="AP17" s="33">
        <f>ROUND(ver2_2019!AP17,-4)</f>
        <v>0</v>
      </c>
      <c r="AQ17" s="33">
        <f>ROUND(ver2_2019!AQ17,-4)</f>
        <v>0</v>
      </c>
      <c r="AR17" s="33">
        <f>ROUND(ver2_2019!AR17,-4)</f>
        <v>0</v>
      </c>
      <c r="AS17" s="33">
        <f>ROUND(ver2_2019!AS17,-4)</f>
        <v>0</v>
      </c>
      <c r="AT17" s="33">
        <f>ROUND(ver2_2019!AT17,-4)</f>
        <v>0</v>
      </c>
      <c r="AU17" s="28">
        <f t="shared" si="0"/>
        <v>6620000</v>
      </c>
      <c r="AV17" s="30">
        <f t="shared" si="1"/>
        <v>529.68474955992963</v>
      </c>
    </row>
    <row r="18" spans="1:48" s="5" customFormat="1" x14ac:dyDescent="0.35">
      <c r="A18" s="12" t="s">
        <v>22</v>
      </c>
      <c r="B18" s="12" t="s">
        <v>53</v>
      </c>
      <c r="C18" s="20">
        <v>1417</v>
      </c>
      <c r="D18" s="20">
        <v>0</v>
      </c>
      <c r="E18" s="33">
        <f>ROUND(ver2_2019!E18,-4)</f>
        <v>130000</v>
      </c>
      <c r="F18" s="33">
        <f>ROUND(ver2_2019!F18,-4)</f>
        <v>0</v>
      </c>
      <c r="G18" s="33">
        <f>ROUND(ver2_2019!G18,-4)</f>
        <v>0</v>
      </c>
      <c r="H18" s="33">
        <f>ROUND(ver2_2019!H18,-4)</f>
        <v>0</v>
      </c>
      <c r="I18" s="33">
        <f>ROUND(ver2_2019!I18,-4)</f>
        <v>0</v>
      </c>
      <c r="J18" s="33">
        <f>ROUND(ver2_2019!J18,-4)</f>
        <v>0</v>
      </c>
      <c r="K18" s="33">
        <f>ROUND(ver2_2019!K18,-4)</f>
        <v>100000</v>
      </c>
      <c r="L18" s="33">
        <f>ROUND(ver2_2019!L18,-4)</f>
        <v>0</v>
      </c>
      <c r="M18" s="33">
        <f>ROUND(ver2_2019!M18,-4)</f>
        <v>60000</v>
      </c>
      <c r="N18" s="33">
        <f>ROUND(ver2_2019!N18,-4)</f>
        <v>0</v>
      </c>
      <c r="O18" s="33">
        <f>ROUND(ver2_2019!O18,-4)</f>
        <v>0</v>
      </c>
      <c r="P18" s="33">
        <f>ROUND(ver2_2019!P18,-4)</f>
        <v>0</v>
      </c>
      <c r="Q18" s="33">
        <f>ROUND(ver2_2019!Q18,-4)</f>
        <v>0</v>
      </c>
      <c r="R18" s="33">
        <f>ROUND(ver2_2019!R18,-4)</f>
        <v>0</v>
      </c>
      <c r="S18" s="33">
        <f>ROUND(ver2_2019!S18,-4)</f>
        <v>0</v>
      </c>
      <c r="T18" s="33">
        <f>ROUND(ver2_2019!T18,-4)</f>
        <v>0</v>
      </c>
      <c r="U18" s="33">
        <f>ROUND(ver2_2019!U18,-4)</f>
        <v>0</v>
      </c>
      <c r="V18" s="33">
        <f>ROUND(ver2_2019!V18,-4)</f>
        <v>0</v>
      </c>
      <c r="W18" s="33">
        <f>ROUND(ver2_2019!W18,-4)</f>
        <v>0</v>
      </c>
      <c r="X18" s="33">
        <f>ROUND(ver2_2019!X18,-4)</f>
        <v>0</v>
      </c>
      <c r="Y18" s="33">
        <f>ROUND(ver2_2019!Y18,-4)</f>
        <v>0</v>
      </c>
      <c r="Z18" s="33">
        <f>ROUND(ver2_2019!Z18,-4)</f>
        <v>0</v>
      </c>
      <c r="AA18" s="33">
        <f>ROUND(ver2_2019!AA18,-4)</f>
        <v>0</v>
      </c>
      <c r="AB18" s="33">
        <f>ROUND(ver2_2019!AB18,-4)</f>
        <v>100000</v>
      </c>
      <c r="AC18" s="33">
        <f>ROUND(ver2_2019!AC18,-4)</f>
        <v>0</v>
      </c>
      <c r="AD18" s="33">
        <f>ROUND(ver2_2019!AD18,-4)</f>
        <v>0</v>
      </c>
      <c r="AE18" s="33">
        <f>ROUND(ver2_2019!AE18,-4)</f>
        <v>0</v>
      </c>
      <c r="AF18" s="33">
        <f>ROUND(ver2_2019!AF18,-4)</f>
        <v>0</v>
      </c>
      <c r="AG18" s="33">
        <f>ROUND(ver2_2019!AG18,-4)</f>
        <v>0</v>
      </c>
      <c r="AH18" s="33">
        <f>ROUND(ver2_2019!AH18,-4)</f>
        <v>0</v>
      </c>
      <c r="AI18" s="33">
        <f>ROUND(ver2_2019!AI18,-4)</f>
        <v>20000</v>
      </c>
      <c r="AJ18" s="33">
        <f>ROUND(ver2_2019!AJ18,-4)</f>
        <v>0</v>
      </c>
      <c r="AK18" s="33">
        <f>ROUND(ver2_2019!AK18,-4)</f>
        <v>0</v>
      </c>
      <c r="AL18" s="33">
        <f>ROUND(ver2_2019!AL18,-4)</f>
        <v>0</v>
      </c>
      <c r="AM18" s="33">
        <f>ROUND(ver2_2019!AM18,-4)</f>
        <v>0</v>
      </c>
      <c r="AN18" s="33">
        <f>ROUND(ver2_2019!AN18,-4)</f>
        <v>0</v>
      </c>
      <c r="AO18" s="33">
        <f>ROUND(ver2_2019!AO18,-4)</f>
        <v>0</v>
      </c>
      <c r="AP18" s="33">
        <f>ROUND(ver2_2019!AP18,-4)</f>
        <v>0</v>
      </c>
      <c r="AQ18" s="33">
        <f>ROUND(ver2_2019!AQ18,-4)</f>
        <v>0</v>
      </c>
      <c r="AR18" s="33">
        <f>ROUND(ver2_2019!AR18,-4)</f>
        <v>0</v>
      </c>
      <c r="AS18" s="33">
        <f>ROUND(ver2_2019!AS18,-4)</f>
        <v>0</v>
      </c>
      <c r="AT18" s="33">
        <f>ROUND(ver2_2019!AT18,-4)</f>
        <v>0</v>
      </c>
      <c r="AU18" s="28">
        <f t="shared" si="0"/>
        <v>410000</v>
      </c>
      <c r="AV18" s="30">
        <f t="shared" si="1"/>
        <v>289.34368383909668</v>
      </c>
    </row>
    <row r="19" spans="1:48" s="5" customFormat="1" x14ac:dyDescent="0.35">
      <c r="A19" s="12" t="s">
        <v>23</v>
      </c>
      <c r="B19" s="12" t="s">
        <v>53</v>
      </c>
      <c r="C19" s="20">
        <v>16040</v>
      </c>
      <c r="D19" s="20">
        <v>9440</v>
      </c>
      <c r="E19" s="33">
        <f>ROUND(ver2_2019!E19,-4)</f>
        <v>1440000</v>
      </c>
      <c r="F19" s="33">
        <f>ROUND(ver2_2019!F19,-4)</f>
        <v>0</v>
      </c>
      <c r="G19" s="33">
        <f>ROUND(ver2_2019!G19,-4)</f>
        <v>0</v>
      </c>
      <c r="H19" s="33">
        <f>ROUND(ver2_2019!H19,-4)</f>
        <v>0</v>
      </c>
      <c r="I19" s="33">
        <f>ROUND(ver2_2019!I19,-4)</f>
        <v>0</v>
      </c>
      <c r="J19" s="33">
        <f>ROUND(ver2_2019!J19,-4)</f>
        <v>0</v>
      </c>
      <c r="K19" s="33">
        <f>ROUND(ver2_2019!K19,-4)</f>
        <v>0</v>
      </c>
      <c r="L19" s="33">
        <f>ROUND(ver2_2019!L19,-4)</f>
        <v>0</v>
      </c>
      <c r="M19" s="33">
        <f>ROUND(ver2_2019!M19,-4)</f>
        <v>730000</v>
      </c>
      <c r="N19" s="33">
        <f>ROUND(ver2_2019!N19,-4)</f>
        <v>1620000</v>
      </c>
      <c r="O19" s="33">
        <f>ROUND(ver2_2019!O19,-4)</f>
        <v>0</v>
      </c>
      <c r="P19" s="33">
        <f>ROUND(ver2_2019!P19,-4)</f>
        <v>0</v>
      </c>
      <c r="Q19" s="33">
        <f>ROUND(ver2_2019!Q19,-4)</f>
        <v>0</v>
      </c>
      <c r="R19" s="33">
        <f>ROUND(ver2_2019!R19,-4)</f>
        <v>0</v>
      </c>
      <c r="S19" s="33">
        <f>ROUND(ver2_2019!S19,-4)</f>
        <v>0</v>
      </c>
      <c r="T19" s="33">
        <f>ROUND(ver2_2019!T19,-4)</f>
        <v>0</v>
      </c>
      <c r="U19" s="33">
        <f>ROUND(ver2_2019!U19,-4)</f>
        <v>0</v>
      </c>
      <c r="V19" s="33">
        <f>ROUND(ver2_2019!V19,-4)</f>
        <v>0</v>
      </c>
      <c r="W19" s="33">
        <f>ROUND(ver2_2019!W19,-4)</f>
        <v>0</v>
      </c>
      <c r="X19" s="33">
        <f>ROUND(ver2_2019!X19,-4)</f>
        <v>0</v>
      </c>
      <c r="Y19" s="33">
        <f>ROUND(ver2_2019!Y19,-4)</f>
        <v>0</v>
      </c>
      <c r="Z19" s="33">
        <f>ROUND(ver2_2019!Z19,-4)</f>
        <v>0</v>
      </c>
      <c r="AA19" s="33">
        <f>ROUND(ver2_2019!AA19,-4)</f>
        <v>0</v>
      </c>
      <c r="AB19" s="33">
        <f>ROUND(ver2_2019!AB19,-4)</f>
        <v>0</v>
      </c>
      <c r="AC19" s="33">
        <f>ROUND(ver2_2019!AC19,-4)</f>
        <v>670000</v>
      </c>
      <c r="AD19" s="33">
        <f>ROUND(ver2_2019!AD19,-4)</f>
        <v>0</v>
      </c>
      <c r="AE19" s="33">
        <f>ROUND(ver2_2019!AE19,-4)</f>
        <v>0</v>
      </c>
      <c r="AF19" s="33">
        <f>ROUND(ver2_2019!AF19,-4)</f>
        <v>0</v>
      </c>
      <c r="AG19" s="33">
        <f>ROUND(ver2_2019!AG19,-4)</f>
        <v>0</v>
      </c>
      <c r="AH19" s="33">
        <f>ROUND(ver2_2019!AH19,-4)</f>
        <v>0</v>
      </c>
      <c r="AI19" s="33">
        <f>ROUND(ver2_2019!AI19,-4)</f>
        <v>0</v>
      </c>
      <c r="AJ19" s="33">
        <f>ROUND(ver2_2019!AJ19,-4)</f>
        <v>40000</v>
      </c>
      <c r="AK19" s="33">
        <f>ROUND(ver2_2019!AK19,-4)</f>
        <v>180000</v>
      </c>
      <c r="AL19" s="33">
        <f>ROUND(ver2_2019!AL19,-4)</f>
        <v>0</v>
      </c>
      <c r="AM19" s="33">
        <f>ROUND(ver2_2019!AM19,-4)</f>
        <v>0</v>
      </c>
      <c r="AN19" s="33">
        <f>ROUND(ver2_2019!AN19,-4)</f>
        <v>0</v>
      </c>
      <c r="AO19" s="33">
        <f>ROUND(ver2_2019!AO19,-4)</f>
        <v>0</v>
      </c>
      <c r="AP19" s="33">
        <f>ROUND(ver2_2019!AP19,-4)</f>
        <v>30000</v>
      </c>
      <c r="AQ19" s="33">
        <f>ROUND(ver2_2019!AQ19,-4)</f>
        <v>0</v>
      </c>
      <c r="AR19" s="33">
        <f>ROUND(ver2_2019!AR19,-4)</f>
        <v>0</v>
      </c>
      <c r="AS19" s="33">
        <f>ROUND(ver2_2019!AS19,-4)</f>
        <v>0</v>
      </c>
      <c r="AT19" s="33">
        <f>ROUND(ver2_2019!AT19,-4)</f>
        <v>0</v>
      </c>
      <c r="AU19" s="28">
        <f t="shared" si="0"/>
        <v>4710000</v>
      </c>
      <c r="AV19" s="30">
        <f t="shared" si="1"/>
        <v>293.64089775561098</v>
      </c>
    </row>
    <row r="20" spans="1:48" s="5" customFormat="1" x14ac:dyDescent="0.35">
      <c r="A20" s="12" t="s">
        <v>24</v>
      </c>
      <c r="B20" s="12" t="s">
        <v>53</v>
      </c>
      <c r="C20" s="20">
        <v>15680</v>
      </c>
      <c r="D20" s="20">
        <v>0</v>
      </c>
      <c r="E20" s="33">
        <f>ROUND(ver2_2019!E20,-4)</f>
        <v>1410000</v>
      </c>
      <c r="F20" s="33">
        <f>ROUND(ver2_2019!F20,-4)</f>
        <v>0</v>
      </c>
      <c r="G20" s="33">
        <f>ROUND(ver2_2019!G20,-4)</f>
        <v>0</v>
      </c>
      <c r="H20" s="33">
        <f>ROUND(ver2_2019!H20,-4)</f>
        <v>0</v>
      </c>
      <c r="I20" s="33">
        <f>ROUND(ver2_2019!I20,-4)</f>
        <v>0</v>
      </c>
      <c r="J20" s="33">
        <f>ROUND(ver2_2019!J20,-4)</f>
        <v>0</v>
      </c>
      <c r="K20" s="33">
        <f>ROUND(ver2_2019!K20,-4)</f>
        <v>0</v>
      </c>
      <c r="L20" s="33">
        <f>ROUND(ver2_2019!L20,-4)</f>
        <v>0</v>
      </c>
      <c r="M20" s="33">
        <f>ROUND(ver2_2019!M20,-4)</f>
        <v>720000</v>
      </c>
      <c r="N20" s="33">
        <f>ROUND(ver2_2019!N20,-4)</f>
        <v>1580000</v>
      </c>
      <c r="O20" s="33">
        <f>ROUND(ver2_2019!O20,-4)</f>
        <v>300000</v>
      </c>
      <c r="P20" s="33">
        <f>ROUND(ver2_2019!P20,-4)</f>
        <v>0</v>
      </c>
      <c r="Q20" s="33">
        <f>ROUND(ver2_2019!Q20,-4)</f>
        <v>0</v>
      </c>
      <c r="R20" s="33">
        <f>ROUND(ver2_2019!R20,-4)</f>
        <v>0</v>
      </c>
      <c r="S20" s="33">
        <f>ROUND(ver2_2019!S20,-4)</f>
        <v>0</v>
      </c>
      <c r="T20" s="33">
        <f>ROUND(ver2_2019!T20,-4)</f>
        <v>0</v>
      </c>
      <c r="U20" s="33">
        <f>ROUND(ver2_2019!U20,-4)</f>
        <v>0</v>
      </c>
      <c r="V20" s="33">
        <f>ROUND(ver2_2019!V20,-4)</f>
        <v>0</v>
      </c>
      <c r="W20" s="33">
        <f>ROUND(ver2_2019!W20,-4)</f>
        <v>0</v>
      </c>
      <c r="X20" s="33">
        <f>ROUND(ver2_2019!X20,-4)</f>
        <v>0</v>
      </c>
      <c r="Y20" s="33">
        <f>ROUND(ver2_2019!Y20,-4)</f>
        <v>0</v>
      </c>
      <c r="Z20" s="33">
        <f>ROUND(ver2_2019!Z20,-4)</f>
        <v>0</v>
      </c>
      <c r="AA20" s="33">
        <f>ROUND(ver2_2019!AA20,-4)</f>
        <v>0</v>
      </c>
      <c r="AB20" s="33">
        <f>ROUND(ver2_2019!AB20,-4)</f>
        <v>0</v>
      </c>
      <c r="AC20" s="33">
        <f>ROUND(ver2_2019!AC20,-4)</f>
        <v>0</v>
      </c>
      <c r="AD20" s="33">
        <f>ROUND(ver2_2019!AD20,-4)</f>
        <v>70000</v>
      </c>
      <c r="AE20" s="33">
        <f>ROUND(ver2_2019!AE20,-4)</f>
        <v>0</v>
      </c>
      <c r="AF20" s="33">
        <f>ROUND(ver2_2019!AF20,-4)</f>
        <v>0</v>
      </c>
      <c r="AG20" s="33">
        <f>ROUND(ver2_2019!AG20,-4)</f>
        <v>0</v>
      </c>
      <c r="AH20" s="33">
        <f>ROUND(ver2_2019!AH20,-4)</f>
        <v>0</v>
      </c>
      <c r="AI20" s="33">
        <f>ROUND(ver2_2019!AI20,-4)</f>
        <v>180000</v>
      </c>
      <c r="AJ20" s="33">
        <f>ROUND(ver2_2019!AJ20,-4)</f>
        <v>40000</v>
      </c>
      <c r="AK20" s="33">
        <f>ROUND(ver2_2019!AK20,-4)</f>
        <v>0</v>
      </c>
      <c r="AL20" s="33">
        <f>ROUND(ver2_2019!AL20,-4)</f>
        <v>0</v>
      </c>
      <c r="AM20" s="33">
        <f>ROUND(ver2_2019!AM20,-4)</f>
        <v>0</v>
      </c>
      <c r="AN20" s="33">
        <f>ROUND(ver2_2019!AN20,-4)</f>
        <v>0</v>
      </c>
      <c r="AO20" s="33">
        <f>ROUND(ver2_2019!AO20,-4)</f>
        <v>0</v>
      </c>
      <c r="AP20" s="33">
        <f>ROUND(ver2_2019!AP20,-4)</f>
        <v>30000</v>
      </c>
      <c r="AQ20" s="33">
        <f>ROUND(ver2_2019!AQ20,-4)</f>
        <v>0</v>
      </c>
      <c r="AR20" s="33">
        <f>ROUND(ver2_2019!AR20,-4)</f>
        <v>0</v>
      </c>
      <c r="AS20" s="33">
        <f>ROUND(ver2_2019!AS20,-4)</f>
        <v>0</v>
      </c>
      <c r="AT20" s="33">
        <f>ROUND(ver2_2019!AT20,-4)</f>
        <v>0</v>
      </c>
      <c r="AU20" s="28">
        <f t="shared" si="0"/>
        <v>4330000</v>
      </c>
      <c r="AV20" s="30">
        <f t="shared" si="1"/>
        <v>276.14795918367349</v>
      </c>
    </row>
    <row r="21" spans="1:48" s="5" customFormat="1" x14ac:dyDescent="0.35">
      <c r="A21" s="12" t="s">
        <v>62</v>
      </c>
      <c r="B21" s="12" t="s">
        <v>53</v>
      </c>
      <c r="C21" s="20">
        <v>500</v>
      </c>
      <c r="D21" s="20">
        <v>120</v>
      </c>
      <c r="E21" s="33">
        <f>ROUND(ver2_2019!E21,-4)</f>
        <v>40000</v>
      </c>
      <c r="F21" s="33">
        <f>ROUND(ver2_2019!F21,-4)</f>
        <v>0</v>
      </c>
      <c r="G21" s="33">
        <f>ROUND(ver2_2019!G21,-4)</f>
        <v>0</v>
      </c>
      <c r="H21" s="33">
        <f>ROUND(ver2_2019!H21,-4)</f>
        <v>0</v>
      </c>
      <c r="I21" s="33">
        <f>ROUND(ver2_2019!I21,-4)</f>
        <v>0</v>
      </c>
      <c r="J21" s="33">
        <f>ROUND(ver2_2019!J21,-4)</f>
        <v>0</v>
      </c>
      <c r="K21" s="33">
        <f>ROUND(ver2_2019!K21,-4)</f>
        <v>0</v>
      </c>
      <c r="L21" s="33">
        <f>ROUND(ver2_2019!L21,-4)</f>
        <v>0</v>
      </c>
      <c r="M21" s="33">
        <f>ROUND(ver2_2019!M21,-4)</f>
        <v>0</v>
      </c>
      <c r="N21" s="33">
        <f>ROUND(ver2_2019!N21,-4)</f>
        <v>0</v>
      </c>
      <c r="O21" s="33">
        <f>ROUND(ver2_2019!O21,-4)</f>
        <v>0</v>
      </c>
      <c r="P21" s="33">
        <f>ROUND(ver2_2019!P21,-4)</f>
        <v>0</v>
      </c>
      <c r="Q21" s="33">
        <f>ROUND(ver2_2019!Q21,-4)</f>
        <v>0</v>
      </c>
      <c r="R21" s="33">
        <f>ROUND(ver2_2019!R21,-4)</f>
        <v>0</v>
      </c>
      <c r="S21" s="33">
        <f>ROUND(ver2_2019!S21,-4)</f>
        <v>0</v>
      </c>
      <c r="T21" s="33">
        <f>ROUND(ver2_2019!T21,-4)</f>
        <v>0</v>
      </c>
      <c r="U21" s="33">
        <f>ROUND(ver2_2019!U21,-4)</f>
        <v>0</v>
      </c>
      <c r="V21" s="33">
        <f>ROUND(ver2_2019!V21,-4)</f>
        <v>0</v>
      </c>
      <c r="W21" s="33">
        <f>ROUND(ver2_2019!W21,-4)</f>
        <v>0</v>
      </c>
      <c r="X21" s="33">
        <f>ROUND(ver2_2019!X21,-4)</f>
        <v>0</v>
      </c>
      <c r="Y21" s="33">
        <f>ROUND(ver2_2019!Y21,-4)</f>
        <v>0</v>
      </c>
      <c r="Z21" s="33">
        <f>ROUND(ver2_2019!Z21,-4)</f>
        <v>0</v>
      </c>
      <c r="AA21" s="33">
        <f>ROUND(ver2_2019!AA21,-4)</f>
        <v>0</v>
      </c>
      <c r="AB21" s="33">
        <f>ROUND(ver2_2019!AB21,-4)</f>
        <v>0</v>
      </c>
      <c r="AC21" s="33">
        <f>ROUND(ver2_2019!AC21,-4)</f>
        <v>0</v>
      </c>
      <c r="AD21" s="33">
        <f>ROUND(ver2_2019!AD21,-4)</f>
        <v>0</v>
      </c>
      <c r="AE21" s="33">
        <f>ROUND(ver2_2019!AE21,-4)</f>
        <v>0</v>
      </c>
      <c r="AF21" s="33">
        <f>ROUND(ver2_2019!AF21,-4)</f>
        <v>0</v>
      </c>
      <c r="AG21" s="33">
        <f>ROUND(ver2_2019!AG21,-4)</f>
        <v>10000</v>
      </c>
      <c r="AH21" s="33">
        <f>ROUND(ver2_2019!AH21,-4)</f>
        <v>0</v>
      </c>
      <c r="AI21" s="33">
        <f>ROUND(ver2_2019!AI21,-4)</f>
        <v>0</v>
      </c>
      <c r="AJ21" s="33">
        <f>ROUND(ver2_2019!AJ21,-4)</f>
        <v>0</v>
      </c>
      <c r="AK21" s="33">
        <f>ROUND(ver2_2019!AK21,-4)</f>
        <v>0</v>
      </c>
      <c r="AL21" s="33">
        <f>ROUND(ver2_2019!AL21,-4)</f>
        <v>0</v>
      </c>
      <c r="AM21" s="33">
        <f>ROUND(ver2_2019!AM21,-4)</f>
        <v>0</v>
      </c>
      <c r="AN21" s="33">
        <f>ROUND(ver2_2019!AN21,-4)</f>
        <v>0</v>
      </c>
      <c r="AO21" s="33">
        <f>ROUND(ver2_2019!AO21,-4)</f>
        <v>0</v>
      </c>
      <c r="AP21" s="33">
        <f>ROUND(ver2_2019!AP21,-4)</f>
        <v>0</v>
      </c>
      <c r="AQ21" s="33">
        <f>ROUND(ver2_2019!AQ21,-4)</f>
        <v>0</v>
      </c>
      <c r="AR21" s="33">
        <f>ROUND(ver2_2019!AR21,-4)</f>
        <v>0</v>
      </c>
      <c r="AS21" s="33">
        <f>ROUND(ver2_2019!AS21,-4)</f>
        <v>0</v>
      </c>
      <c r="AT21" s="33">
        <f>ROUND(ver2_2019!AT21,-4)</f>
        <v>0</v>
      </c>
      <c r="AU21" s="28">
        <f t="shared" si="0"/>
        <v>50000</v>
      </c>
      <c r="AV21" s="30">
        <f t="shared" si="1"/>
        <v>100</v>
      </c>
    </row>
    <row r="22" spans="1:48" s="5" customFormat="1" x14ac:dyDescent="0.35">
      <c r="A22" s="12" t="s">
        <v>25</v>
      </c>
      <c r="B22" s="12" t="s">
        <v>53</v>
      </c>
      <c r="C22" s="20">
        <v>9500</v>
      </c>
      <c r="D22" s="20"/>
      <c r="E22" s="33">
        <f>ROUND(ver2_2019!E22,-4)</f>
        <v>850000</v>
      </c>
      <c r="F22" s="33">
        <f>ROUND(ver2_2019!F22,-4)</f>
        <v>760000</v>
      </c>
      <c r="G22" s="33">
        <f>ROUND(ver2_2019!G22,-4)</f>
        <v>0</v>
      </c>
      <c r="H22" s="33">
        <f>ROUND(ver2_2019!H22,-4)</f>
        <v>640000</v>
      </c>
      <c r="I22" s="33">
        <f>ROUND(ver2_2019!I22,-4)</f>
        <v>0</v>
      </c>
      <c r="J22" s="33">
        <f>ROUND(ver2_2019!J22,-4)</f>
        <v>0</v>
      </c>
      <c r="K22" s="33">
        <f>ROUND(ver2_2019!K22,-4)</f>
        <v>0</v>
      </c>
      <c r="L22" s="33">
        <f>ROUND(ver2_2019!L22,-4)</f>
        <v>0</v>
      </c>
      <c r="M22" s="33">
        <f>ROUND(ver2_2019!M22,-4)</f>
        <v>0</v>
      </c>
      <c r="N22" s="33">
        <f>ROUND(ver2_2019!N22,-4)</f>
        <v>0</v>
      </c>
      <c r="O22" s="33">
        <f>ROUND(ver2_2019!O22,-4)</f>
        <v>0</v>
      </c>
      <c r="P22" s="33">
        <f>ROUND(ver2_2019!P22,-4)</f>
        <v>0</v>
      </c>
      <c r="Q22" s="33">
        <f>ROUND(ver2_2019!Q22,-4)</f>
        <v>0</v>
      </c>
      <c r="R22" s="33">
        <f>ROUND(ver2_2019!R22,-4)</f>
        <v>0</v>
      </c>
      <c r="S22" s="33">
        <f>ROUND(ver2_2019!S22,-4)</f>
        <v>0</v>
      </c>
      <c r="T22" s="33">
        <f>ROUND(ver2_2019!T22,-4)</f>
        <v>0</v>
      </c>
      <c r="U22" s="33">
        <f>ROUND(ver2_2019!U22,-4)</f>
        <v>0</v>
      </c>
      <c r="V22" s="33">
        <f>ROUND(ver2_2019!V22,-4)</f>
        <v>0</v>
      </c>
      <c r="W22" s="33">
        <f>ROUND(ver2_2019!W22,-4)</f>
        <v>0</v>
      </c>
      <c r="X22" s="33">
        <f>ROUND(ver2_2019!X22,-4)</f>
        <v>0</v>
      </c>
      <c r="Y22" s="33">
        <f>ROUND(ver2_2019!Y22,-4)</f>
        <v>0</v>
      </c>
      <c r="Z22" s="33">
        <f>ROUND(ver2_2019!Z22,-4)</f>
        <v>0</v>
      </c>
      <c r="AA22" s="33">
        <f>ROUND(ver2_2019!AA22,-4)</f>
        <v>0</v>
      </c>
      <c r="AB22" s="33">
        <f>ROUND(ver2_2019!AB22,-4)</f>
        <v>0</v>
      </c>
      <c r="AC22" s="33">
        <f>ROUND(ver2_2019!AC22,-4)</f>
        <v>0</v>
      </c>
      <c r="AD22" s="33">
        <f>ROUND(ver2_2019!AD22,-4)</f>
        <v>0</v>
      </c>
      <c r="AE22" s="33">
        <f>ROUND(ver2_2019!AE22,-4)</f>
        <v>0</v>
      </c>
      <c r="AF22" s="33">
        <f>ROUND(ver2_2019!AF22,-4)</f>
        <v>0</v>
      </c>
      <c r="AG22" s="33">
        <f>ROUND(ver2_2019!AG22,-4)</f>
        <v>0</v>
      </c>
      <c r="AH22" s="33">
        <f>ROUND(ver2_2019!AH22,-4)</f>
        <v>0</v>
      </c>
      <c r="AI22" s="33">
        <f>ROUND(ver2_2019!AI22,-4)</f>
        <v>0</v>
      </c>
      <c r="AJ22" s="33">
        <f>ROUND(ver2_2019!AJ22,-4)</f>
        <v>0</v>
      </c>
      <c r="AK22" s="33">
        <f>ROUND(ver2_2019!AK22,-4)</f>
        <v>0</v>
      </c>
      <c r="AL22" s="33">
        <f>ROUND(ver2_2019!AL22,-4)</f>
        <v>0</v>
      </c>
      <c r="AM22" s="33">
        <f>ROUND(ver2_2019!AM22,-4)</f>
        <v>0</v>
      </c>
      <c r="AN22" s="33">
        <f>ROUND(ver2_2019!AN22,-4)</f>
        <v>0</v>
      </c>
      <c r="AO22" s="33">
        <f>ROUND(ver2_2019!AO22,-4)</f>
        <v>120000</v>
      </c>
      <c r="AP22" s="33">
        <f>ROUND(ver2_2019!AP22,-4)</f>
        <v>0</v>
      </c>
      <c r="AQ22" s="33">
        <f>ROUND(ver2_2019!AQ22,-4)</f>
        <v>320000</v>
      </c>
      <c r="AR22" s="33">
        <f>ROUND(ver2_2019!AR22,-4)</f>
        <v>0</v>
      </c>
      <c r="AS22" s="33" t="s">
        <v>15</v>
      </c>
      <c r="AT22" s="33">
        <f>ROUND(ver2_2019!AT22,-4)</f>
        <v>0</v>
      </c>
      <c r="AU22" s="28">
        <f t="shared" si="0"/>
        <v>2690000</v>
      </c>
      <c r="AV22" s="30">
        <f t="shared" si="1"/>
        <v>283.15789473684208</v>
      </c>
    </row>
    <row r="23" spans="1:48" s="7" customFormat="1" x14ac:dyDescent="0.35">
      <c r="A23" s="14" t="s">
        <v>26</v>
      </c>
      <c r="B23" s="14" t="s">
        <v>54</v>
      </c>
      <c r="C23" s="22">
        <v>7159</v>
      </c>
      <c r="D23" s="22">
        <v>7159</v>
      </c>
      <c r="E23" s="33">
        <f>ROUND(ver2_2019!E23,-4)</f>
        <v>640000</v>
      </c>
      <c r="F23" s="33">
        <f>ROUND(ver2_2019!F23,-4)</f>
        <v>0</v>
      </c>
      <c r="G23" s="33">
        <f>ROUND(ver2_2019!G23,-4)</f>
        <v>0</v>
      </c>
      <c r="H23" s="33">
        <f>ROUND(ver2_2019!H23,-4)</f>
        <v>0</v>
      </c>
      <c r="I23" s="33">
        <f>ROUND(ver2_2019!I23,-4)</f>
        <v>0</v>
      </c>
      <c r="J23" s="33">
        <f>ROUND(ver2_2019!J23,-4)</f>
        <v>0</v>
      </c>
      <c r="K23" s="33">
        <f>ROUND(ver2_2019!K23,-4)</f>
        <v>520000</v>
      </c>
      <c r="L23" s="33">
        <f>ROUND(ver2_2019!L23,-4)</f>
        <v>0</v>
      </c>
      <c r="M23" s="33">
        <f>ROUND(ver2_2019!M23,-4)</f>
        <v>0</v>
      </c>
      <c r="N23" s="33">
        <f>ROUND(ver2_2019!N23,-4)</f>
        <v>0</v>
      </c>
      <c r="O23" s="33">
        <f>ROUND(ver2_2019!O23,-4)</f>
        <v>0</v>
      </c>
      <c r="P23" s="33">
        <f>ROUND(ver2_2019!P23,-4)</f>
        <v>0</v>
      </c>
      <c r="Q23" s="33">
        <f>ROUND(ver2_2019!Q23,-4)</f>
        <v>0</v>
      </c>
      <c r="R23" s="33">
        <f>ROUND(ver2_2019!R23,-4)</f>
        <v>0</v>
      </c>
      <c r="S23" s="33">
        <f>ROUND(ver2_2019!S23,-4)</f>
        <v>0</v>
      </c>
      <c r="T23" s="33">
        <f>ROUND(ver2_2019!T23,-4)</f>
        <v>0</v>
      </c>
      <c r="U23" s="33">
        <f>ROUND(ver2_2019!U23,-4)</f>
        <v>0</v>
      </c>
      <c r="V23" s="33">
        <f>ROUND(ver2_2019!V23,-4)</f>
        <v>0</v>
      </c>
      <c r="W23" s="33">
        <f>ROUND(ver2_2019!W23,-4)</f>
        <v>0</v>
      </c>
      <c r="X23" s="33">
        <f>ROUND(ver2_2019!X23,-4)</f>
        <v>0</v>
      </c>
      <c r="Y23" s="33">
        <f>ROUND(ver2_2019!Y23,-4)</f>
        <v>0</v>
      </c>
      <c r="Z23" s="33">
        <f>ROUND(ver2_2019!Z23,-4)</f>
        <v>0</v>
      </c>
      <c r="AA23" s="33">
        <f>ROUND(ver2_2019!AA23,-4)</f>
        <v>0</v>
      </c>
      <c r="AB23" s="33">
        <f>ROUND(ver2_2019!AB23,-4)</f>
        <v>490000</v>
      </c>
      <c r="AC23" s="33">
        <f>ROUND(ver2_2019!AC23,-4)</f>
        <v>0</v>
      </c>
      <c r="AD23" s="33">
        <f>ROUND(ver2_2019!AD23,-4)</f>
        <v>0</v>
      </c>
      <c r="AE23" s="33">
        <f>ROUND(ver2_2019!AE23,-4)</f>
        <v>0</v>
      </c>
      <c r="AF23" s="33">
        <f>ROUND(ver2_2019!AF23,-4)</f>
        <v>0</v>
      </c>
      <c r="AG23" s="33">
        <f>ROUND(ver2_2019!AG23,-4)</f>
        <v>0</v>
      </c>
      <c r="AH23" s="33">
        <f>ROUND(ver2_2019!AH23,-4)</f>
        <v>0</v>
      </c>
      <c r="AI23" s="33">
        <f>ROUND(ver2_2019!AI23,-4)</f>
        <v>0</v>
      </c>
      <c r="AJ23" s="33">
        <f>ROUND(ver2_2019!AJ23,-4)</f>
        <v>0</v>
      </c>
      <c r="AK23" s="33">
        <f>ROUND(ver2_2019!AK23,-4)</f>
        <v>0</v>
      </c>
      <c r="AL23" s="33">
        <f>ROUND(ver2_2019!AL23,-4)</f>
        <v>0</v>
      </c>
      <c r="AM23" s="33">
        <f>ROUND(ver2_2019!AM23,-4)</f>
        <v>0</v>
      </c>
      <c r="AN23" s="33">
        <f>ROUND(ver2_2019!AN23,-4)</f>
        <v>0</v>
      </c>
      <c r="AO23" s="33">
        <f>ROUND(ver2_2019!AO23,-4)</f>
        <v>0</v>
      </c>
      <c r="AP23" s="33">
        <f>ROUND(ver2_2019!AP23,-4)</f>
        <v>0</v>
      </c>
      <c r="AQ23" s="33">
        <f>ROUND(ver2_2019!AQ23,-4)</f>
        <v>0</v>
      </c>
      <c r="AR23" s="33">
        <f>ROUND(ver2_2019!AR23,-4)</f>
        <v>0</v>
      </c>
      <c r="AS23" s="33">
        <f>ROUND(ver2_2019!AS23,-4)</f>
        <v>0</v>
      </c>
      <c r="AT23" s="33">
        <f>ROUND(ver2_2019!AT23,-4)</f>
        <v>0</v>
      </c>
      <c r="AU23" s="28">
        <f t="shared" si="0"/>
        <v>1650000</v>
      </c>
      <c r="AV23" s="30">
        <f t="shared" si="1"/>
        <v>230.479117195139</v>
      </c>
    </row>
    <row r="24" spans="1:48" s="7" customFormat="1" x14ac:dyDescent="0.35">
      <c r="A24" s="14" t="s">
        <v>27</v>
      </c>
      <c r="B24" s="14" t="s">
        <v>54</v>
      </c>
      <c r="C24" s="22">
        <v>39500</v>
      </c>
      <c r="D24" s="22"/>
      <c r="E24" s="33">
        <f>ROUND(ver2_2019!E24,-4)</f>
        <v>0</v>
      </c>
      <c r="F24" s="33">
        <f>ROUND(ver2_2019!F24,-4)</f>
        <v>0</v>
      </c>
      <c r="G24" s="33">
        <f>ROUND(ver2_2019!G24,-4)</f>
        <v>0</v>
      </c>
      <c r="H24" s="33">
        <f>ROUND(ver2_2019!H24,-4)</f>
        <v>0</v>
      </c>
      <c r="I24" s="33">
        <f>ROUND(ver2_2019!I24,-4)</f>
        <v>0</v>
      </c>
      <c r="J24" s="33">
        <f>ROUND(ver2_2019!J24,-4)</f>
        <v>0</v>
      </c>
      <c r="K24" s="33">
        <f>ROUND(ver2_2019!K24,-4)</f>
        <v>0</v>
      </c>
      <c r="L24" s="33">
        <f>ROUND(ver2_2019!L24,-4)</f>
        <v>0</v>
      </c>
      <c r="M24" s="33">
        <f>ROUND(ver2_2019!M24,-4)</f>
        <v>0</v>
      </c>
      <c r="N24" s="33">
        <f>ROUND(ver2_2019!N24,-4)</f>
        <v>0</v>
      </c>
      <c r="O24" s="33">
        <f>ROUND(ver2_2019!O24,-4)</f>
        <v>0</v>
      </c>
      <c r="P24" s="33">
        <f>ROUND(ver2_2019!P24,-4)</f>
        <v>0</v>
      </c>
      <c r="Q24" s="33">
        <f>ROUND(ver2_2019!Q24,-4)</f>
        <v>0</v>
      </c>
      <c r="R24" s="33">
        <f>ROUND(ver2_2019!R24,-4)</f>
        <v>0</v>
      </c>
      <c r="S24" s="33">
        <f>ROUND(ver2_2019!S24,-4)</f>
        <v>0</v>
      </c>
      <c r="T24" s="33">
        <f>ROUND(ver2_2019!T24,-4)</f>
        <v>0</v>
      </c>
      <c r="U24" s="33">
        <f>ROUND(ver2_2019!U24,-4)</f>
        <v>10800000</v>
      </c>
      <c r="V24" s="33">
        <f>ROUND(ver2_2019!V24,-4)</f>
        <v>0</v>
      </c>
      <c r="W24" s="33">
        <f>ROUND(ver2_2019!W24,-4)</f>
        <v>0</v>
      </c>
      <c r="X24" s="33">
        <f>ROUND(ver2_2019!X24,-4)</f>
        <v>0</v>
      </c>
      <c r="Y24" s="33">
        <f>ROUND(ver2_2019!Y24,-4)</f>
        <v>0</v>
      </c>
      <c r="Z24" s="33">
        <f>ROUND(ver2_2019!Z24,-4)</f>
        <v>0</v>
      </c>
      <c r="AA24" s="33">
        <f>ROUND(ver2_2019!AA24,-4)</f>
        <v>0</v>
      </c>
      <c r="AB24" s="33">
        <f>ROUND(ver2_2019!AB24,-4)</f>
        <v>0</v>
      </c>
      <c r="AC24" s="33">
        <f>ROUND(ver2_2019!AC24,-4)</f>
        <v>0</v>
      </c>
      <c r="AD24" s="33">
        <f>ROUND(ver2_2019!AD24,-4)</f>
        <v>0</v>
      </c>
      <c r="AE24" s="33">
        <f>ROUND(ver2_2019!AE24,-4)</f>
        <v>0</v>
      </c>
      <c r="AF24" s="33">
        <f>ROUND(ver2_2019!AF24,-4)</f>
        <v>0</v>
      </c>
      <c r="AG24" s="33">
        <f>ROUND(ver2_2019!AG24,-4)</f>
        <v>0</v>
      </c>
      <c r="AH24" s="33">
        <f>ROUND(ver2_2019!AH24,-4)</f>
        <v>0</v>
      </c>
      <c r="AI24" s="33">
        <f>ROUND(ver2_2019!AI24,-4)</f>
        <v>0</v>
      </c>
      <c r="AJ24" s="33">
        <f>ROUND(ver2_2019!AJ24,-4)</f>
        <v>0</v>
      </c>
      <c r="AK24" s="33">
        <f>ROUND(ver2_2019!AK24,-4)</f>
        <v>0</v>
      </c>
      <c r="AL24" s="33">
        <f>ROUND(ver2_2019!AL24,-4)</f>
        <v>0</v>
      </c>
      <c r="AM24" s="33">
        <f>ROUND(ver2_2019!AM24,-4)</f>
        <v>650000</v>
      </c>
      <c r="AN24" s="33">
        <f>ROUND(ver2_2019!AN24,-4)</f>
        <v>0</v>
      </c>
      <c r="AO24" s="33">
        <f>ROUND(ver2_2019!AO24,-4)</f>
        <v>0</v>
      </c>
      <c r="AP24" s="33">
        <f>ROUND(ver2_2019!AP24,-4)</f>
        <v>0</v>
      </c>
      <c r="AQ24" s="33">
        <f>ROUND(ver2_2019!AQ24,-4)</f>
        <v>0</v>
      </c>
      <c r="AR24" s="33">
        <f>ROUND(ver2_2019!AR24,-4)</f>
        <v>0</v>
      </c>
      <c r="AS24" s="33">
        <f>ROUND(ver2_2019!AS24,-4)</f>
        <v>0</v>
      </c>
      <c r="AT24" s="33">
        <f>ROUND(ver2_2019!AT24,-4)</f>
        <v>0</v>
      </c>
      <c r="AU24" s="28">
        <f t="shared" si="0"/>
        <v>11450000</v>
      </c>
      <c r="AV24" s="30">
        <f t="shared" si="1"/>
        <v>289.87341772151899</v>
      </c>
    </row>
    <row r="25" spans="1:48" s="5" customFormat="1" ht="15.75" customHeight="1" x14ac:dyDescent="0.35">
      <c r="A25" s="15" t="s">
        <v>28</v>
      </c>
      <c r="B25" s="15" t="s">
        <v>93</v>
      </c>
      <c r="C25" s="24">
        <v>23588</v>
      </c>
      <c r="D25" s="24">
        <v>23588</v>
      </c>
      <c r="E25" s="33">
        <f>ROUND(ver2_2019!E25,-4)</f>
        <v>2120000</v>
      </c>
      <c r="F25" s="33">
        <f>ROUND(ver2_2019!F25,-4)</f>
        <v>0</v>
      </c>
      <c r="G25" s="33">
        <f>ROUND(ver2_2019!G25,-4)</f>
        <v>0</v>
      </c>
      <c r="H25" s="33">
        <f>ROUND(ver2_2019!H25,-4)</f>
        <v>1580000</v>
      </c>
      <c r="I25" s="33">
        <f>ROUND(ver2_2019!I25,-4)</f>
        <v>0</v>
      </c>
      <c r="J25" s="33">
        <f>ROUND(ver2_2019!J25,-4)</f>
        <v>0</v>
      </c>
      <c r="K25" s="33">
        <f>ROUND(ver2_2019!K25,-4)</f>
        <v>0</v>
      </c>
      <c r="L25" s="33">
        <f>ROUND(ver2_2019!L25,-4)</f>
        <v>0</v>
      </c>
      <c r="M25" s="33">
        <f>ROUND(ver2_2019!M25,-4)</f>
        <v>0</v>
      </c>
      <c r="N25" s="33">
        <f>ROUND(ver2_2019!N25,-4)</f>
        <v>0</v>
      </c>
      <c r="O25" s="33">
        <f>ROUND(ver2_2019!O25,-4)</f>
        <v>0</v>
      </c>
      <c r="P25" s="33">
        <f>ROUND(ver2_2019!P25,-4)</f>
        <v>0</v>
      </c>
      <c r="Q25" s="33">
        <f>ROUND(ver2_2019!Q25,-4)</f>
        <v>0</v>
      </c>
      <c r="R25" s="33">
        <f>ROUND(ver2_2019!R25,-4)</f>
        <v>0</v>
      </c>
      <c r="S25" s="33">
        <f>ROUND(ver2_2019!S25,-4)</f>
        <v>0</v>
      </c>
      <c r="T25" s="33">
        <f>ROUND(ver2_2019!T25,-4)</f>
        <v>0</v>
      </c>
      <c r="U25" s="33">
        <f>ROUND(ver2_2019!U25,-4)</f>
        <v>0</v>
      </c>
      <c r="V25" s="33">
        <f>ROUND(ver2_2019!V25,-4)</f>
        <v>0</v>
      </c>
      <c r="W25" s="33">
        <f>ROUND(ver2_2019!W25,-4)</f>
        <v>0</v>
      </c>
      <c r="X25" s="33">
        <f>ROUND(ver2_2019!X25,-4)</f>
        <v>0</v>
      </c>
      <c r="Y25" s="33">
        <f>ROUND(ver2_2019!Y25,-4)</f>
        <v>0</v>
      </c>
      <c r="Z25" s="33">
        <f>ROUND(ver2_2019!Z25,-4)</f>
        <v>0</v>
      </c>
      <c r="AA25" s="33">
        <f>ROUND(ver2_2019!AA25,-4)</f>
        <v>0</v>
      </c>
      <c r="AB25" s="33">
        <f>ROUND(ver2_2019!AB25,-4)</f>
        <v>0</v>
      </c>
      <c r="AC25" s="33">
        <f>ROUND(ver2_2019!AC25,-4)</f>
        <v>0</v>
      </c>
      <c r="AD25" s="33">
        <f>ROUND(ver2_2019!AD25,-4)</f>
        <v>0</v>
      </c>
      <c r="AE25" s="33">
        <f>ROUND(ver2_2019!AE25,-4)</f>
        <v>0</v>
      </c>
      <c r="AF25" s="33">
        <f>ROUND(ver2_2019!AF25,-4)</f>
        <v>0</v>
      </c>
      <c r="AG25" s="33">
        <f>ROUND(ver2_2019!AG25,-4)</f>
        <v>590000</v>
      </c>
      <c r="AH25" s="33">
        <f>ROUND(ver2_2019!AH25,-4)</f>
        <v>0</v>
      </c>
      <c r="AI25" s="33">
        <f>ROUND(ver2_2019!AI25,-4)</f>
        <v>0</v>
      </c>
      <c r="AJ25" s="33">
        <f>ROUND(ver2_2019!AJ25,-4)</f>
        <v>0</v>
      </c>
      <c r="AK25" s="33">
        <f>ROUND(ver2_2019!AK25,-4)</f>
        <v>0</v>
      </c>
      <c r="AL25" s="33">
        <f>ROUND(ver2_2019!AL25,-4)</f>
        <v>0</v>
      </c>
      <c r="AM25" s="33">
        <f>ROUND(ver2_2019!AM25,-4)</f>
        <v>0</v>
      </c>
      <c r="AN25" s="33">
        <f>ROUND(ver2_2019!AN25,-4)</f>
        <v>0</v>
      </c>
      <c r="AO25" s="33">
        <f>ROUND(ver2_2019!AO25,-4)</f>
        <v>0</v>
      </c>
      <c r="AP25" s="33">
        <f>ROUND(ver2_2019!AP25,-4)</f>
        <v>0</v>
      </c>
      <c r="AQ25" s="33">
        <f>ROUND(ver2_2019!AQ25,-4)</f>
        <v>0</v>
      </c>
      <c r="AR25" s="33">
        <f>ROUND(ver2_2019!AR25,-4)</f>
        <v>0</v>
      </c>
      <c r="AS25" s="33">
        <f>ROUND(ver2_2019!AS25,-4)</f>
        <v>0</v>
      </c>
      <c r="AT25" s="33">
        <f>ROUND(ver2_2019!AT25,-4)</f>
        <v>0</v>
      </c>
      <c r="AU25" s="28">
        <f t="shared" si="0"/>
        <v>4290000</v>
      </c>
      <c r="AV25" s="30">
        <f t="shared" si="1"/>
        <v>181.87213837544513</v>
      </c>
    </row>
    <row r="26" spans="1:48" s="4" customFormat="1" x14ac:dyDescent="0.35">
      <c r="A26" s="15" t="s">
        <v>29</v>
      </c>
      <c r="B26" s="15" t="s">
        <v>54</v>
      </c>
      <c r="C26" s="24">
        <v>2010</v>
      </c>
      <c r="D26" s="24">
        <v>2010</v>
      </c>
      <c r="E26" s="33">
        <f>ROUND(ver2_2019!E26,-4)</f>
        <v>180000</v>
      </c>
      <c r="F26" s="33">
        <f>ROUND(ver2_2019!F26,-4)</f>
        <v>0</v>
      </c>
      <c r="G26" s="33">
        <f>ROUND(ver2_2019!G26,-4)</f>
        <v>0</v>
      </c>
      <c r="H26" s="33">
        <f>ROUND(ver2_2019!H26,-4)</f>
        <v>0</v>
      </c>
      <c r="I26" s="33">
        <f>ROUND(ver2_2019!I26,-4)</f>
        <v>0</v>
      </c>
      <c r="J26" s="33">
        <f>ROUND(ver2_2019!J26,-4)</f>
        <v>0</v>
      </c>
      <c r="K26" s="33">
        <f>ROUND(ver2_2019!K26,-4)</f>
        <v>150000</v>
      </c>
      <c r="L26" s="33">
        <f>ROUND(ver2_2019!L26,-4)</f>
        <v>0</v>
      </c>
      <c r="M26" s="33">
        <f>ROUND(ver2_2019!M26,-4)</f>
        <v>0</v>
      </c>
      <c r="N26" s="33">
        <f>ROUND(ver2_2019!N26,-4)</f>
        <v>0</v>
      </c>
      <c r="O26" s="33">
        <f>ROUND(ver2_2019!O26,-4)</f>
        <v>0</v>
      </c>
      <c r="P26" s="33">
        <f>ROUND(ver2_2019!P26,-4)</f>
        <v>0</v>
      </c>
      <c r="Q26" s="33">
        <f>ROUND(ver2_2019!Q26,-4)</f>
        <v>0</v>
      </c>
      <c r="R26" s="33">
        <f>ROUND(ver2_2019!R26,-4)</f>
        <v>0</v>
      </c>
      <c r="S26" s="33">
        <f>ROUND(ver2_2019!S26,-4)</f>
        <v>0</v>
      </c>
      <c r="T26" s="33">
        <f>ROUND(ver2_2019!T26,-4)</f>
        <v>0</v>
      </c>
      <c r="U26" s="33">
        <f>ROUND(ver2_2019!U26,-4)</f>
        <v>0</v>
      </c>
      <c r="V26" s="33">
        <f>ROUND(ver2_2019!V26,-4)</f>
        <v>0</v>
      </c>
      <c r="W26" s="33">
        <f>ROUND(ver2_2019!W26,-4)</f>
        <v>0</v>
      </c>
      <c r="X26" s="33">
        <f>ROUND(ver2_2019!X26,-4)</f>
        <v>0</v>
      </c>
      <c r="Y26" s="33">
        <f>ROUND(ver2_2019!Y26,-4)</f>
        <v>0</v>
      </c>
      <c r="Z26" s="33">
        <f>ROUND(ver2_2019!Z26,-4)</f>
        <v>0</v>
      </c>
      <c r="AA26" s="33">
        <f>ROUND(ver2_2019!AA26,-4)</f>
        <v>0</v>
      </c>
      <c r="AB26" s="33">
        <f>ROUND(ver2_2019!AB26,-4)</f>
        <v>140000</v>
      </c>
      <c r="AC26" s="33">
        <f>ROUND(ver2_2019!AC26,-4)</f>
        <v>0</v>
      </c>
      <c r="AD26" s="33">
        <f>ROUND(ver2_2019!AD26,-4)</f>
        <v>0</v>
      </c>
      <c r="AE26" s="33">
        <f>ROUND(ver2_2019!AE26,-4)</f>
        <v>0</v>
      </c>
      <c r="AF26" s="33">
        <f>ROUND(ver2_2019!AF26,-4)</f>
        <v>0</v>
      </c>
      <c r="AG26" s="33">
        <f>ROUND(ver2_2019!AG26,-4)</f>
        <v>0</v>
      </c>
      <c r="AH26" s="33">
        <f>ROUND(ver2_2019!AH26,-4)</f>
        <v>0</v>
      </c>
      <c r="AI26" s="33">
        <f>ROUND(ver2_2019!AI26,-4)</f>
        <v>0</v>
      </c>
      <c r="AJ26" s="33">
        <f>ROUND(ver2_2019!AJ26,-4)</f>
        <v>0</v>
      </c>
      <c r="AK26" s="33">
        <f>ROUND(ver2_2019!AK26,-4)</f>
        <v>0</v>
      </c>
      <c r="AL26" s="33">
        <f>ROUND(ver2_2019!AL26,-4)</f>
        <v>0</v>
      </c>
      <c r="AM26" s="33">
        <f>ROUND(ver2_2019!AM26,-4)</f>
        <v>0</v>
      </c>
      <c r="AN26" s="33">
        <f>ROUND(ver2_2019!AN26,-4)</f>
        <v>0</v>
      </c>
      <c r="AO26" s="33">
        <f>ROUND(ver2_2019!AO26,-4)</f>
        <v>0</v>
      </c>
      <c r="AP26" s="33">
        <f>ROUND(ver2_2019!AP26,-4)</f>
        <v>0</v>
      </c>
      <c r="AQ26" s="33">
        <f>ROUND(ver2_2019!AQ26,-4)</f>
        <v>0</v>
      </c>
      <c r="AR26" s="33">
        <f>ROUND(ver2_2019!AR26,-4)</f>
        <v>0</v>
      </c>
      <c r="AS26" s="33">
        <f>ROUND(ver2_2019!AS26,-4)</f>
        <v>0</v>
      </c>
      <c r="AT26" s="33">
        <f>ROUND(ver2_2019!AT26,-4)</f>
        <v>0</v>
      </c>
      <c r="AU26" s="28">
        <f t="shared" si="0"/>
        <v>470000</v>
      </c>
      <c r="AV26" s="30">
        <f t="shared" si="1"/>
        <v>233.83084577114428</v>
      </c>
    </row>
    <row r="27" spans="1:48" s="4" customFormat="1" x14ac:dyDescent="0.35">
      <c r="A27" s="15" t="s">
        <v>30</v>
      </c>
      <c r="B27" s="15" t="s">
        <v>54</v>
      </c>
      <c r="C27" s="24">
        <v>9507</v>
      </c>
      <c r="D27" s="24"/>
      <c r="E27" s="33">
        <f>ROUND(ver2_2019!E27,-4)</f>
        <v>850000</v>
      </c>
      <c r="F27" s="33">
        <f>ROUND(ver2_2019!F27,-4)</f>
        <v>0</v>
      </c>
      <c r="G27" s="33">
        <f>ROUND(ver2_2019!G27,-4)</f>
        <v>0</v>
      </c>
      <c r="H27" s="33">
        <f>ROUND(ver2_2019!H27,-4)</f>
        <v>0</v>
      </c>
      <c r="I27" s="33">
        <f>ROUND(ver2_2019!I27,-4)</f>
        <v>340000</v>
      </c>
      <c r="J27" s="33">
        <f>ROUND(ver2_2019!J27,-4)</f>
        <v>0</v>
      </c>
      <c r="K27" s="33">
        <f>ROUND(ver2_2019!K27,-4)</f>
        <v>700000</v>
      </c>
      <c r="L27" s="33">
        <f>ROUND(ver2_2019!L27,-4)</f>
        <v>0</v>
      </c>
      <c r="M27" s="33">
        <f>ROUND(ver2_2019!M27,-4)</f>
        <v>0</v>
      </c>
      <c r="N27" s="33">
        <f>ROUND(ver2_2019!N27,-4)</f>
        <v>0</v>
      </c>
      <c r="O27" s="33">
        <f>ROUND(ver2_2019!O27,-4)</f>
        <v>0</v>
      </c>
      <c r="P27" s="33">
        <f>ROUND(ver2_2019!P27,-4)</f>
        <v>0</v>
      </c>
      <c r="Q27" s="33">
        <f>ROUND(ver2_2019!Q27,-4)</f>
        <v>0</v>
      </c>
      <c r="R27" s="33">
        <f>ROUND(ver2_2019!R27,-4)</f>
        <v>0</v>
      </c>
      <c r="S27" s="33">
        <f>ROUND(ver2_2019!S27,-4)</f>
        <v>350000</v>
      </c>
      <c r="T27" s="33">
        <f>ROUND(ver2_2019!T27,-4)</f>
        <v>250000</v>
      </c>
      <c r="U27" s="33">
        <f>ROUND(ver2_2019!U27,-4)</f>
        <v>0</v>
      </c>
      <c r="V27" s="33">
        <f>ROUND(ver2_2019!V27,-4)</f>
        <v>0</v>
      </c>
      <c r="W27" s="33">
        <f>ROUND(ver2_2019!W27,-4)</f>
        <v>0</v>
      </c>
      <c r="X27" s="33">
        <f>ROUND(ver2_2019!X27,-4)</f>
        <v>0</v>
      </c>
      <c r="Y27" s="33">
        <f>ROUND(ver2_2019!Y27,-4)</f>
        <v>0</v>
      </c>
      <c r="Z27" s="33">
        <f>ROUND(ver2_2019!Z27,-4)</f>
        <v>0</v>
      </c>
      <c r="AA27" s="33">
        <f>ROUND(ver2_2019!AA27,-4)</f>
        <v>0</v>
      </c>
      <c r="AB27" s="33">
        <f>ROUND(ver2_2019!AB27,-4)</f>
        <v>0</v>
      </c>
      <c r="AC27" s="33">
        <f>ROUND(ver2_2019!AC27,-4)</f>
        <v>0</v>
      </c>
      <c r="AD27" s="33">
        <f>ROUND(ver2_2019!AD27,-4)</f>
        <v>0</v>
      </c>
      <c r="AE27" s="33">
        <f>ROUND(ver2_2019!AE27,-4)</f>
        <v>0</v>
      </c>
      <c r="AF27" s="33">
        <f>ROUND(ver2_2019!AF27,-4)</f>
        <v>0</v>
      </c>
      <c r="AG27" s="33">
        <f>ROUND(ver2_2019!AG27,-4)</f>
        <v>0</v>
      </c>
      <c r="AH27" s="33">
        <f>ROUND(ver2_2019!AH27,-4)</f>
        <v>0</v>
      </c>
      <c r="AI27" s="33">
        <f>ROUND(ver2_2019!AI27,-4)</f>
        <v>0</v>
      </c>
      <c r="AJ27" s="33">
        <f>ROUND(ver2_2019!AJ27,-4)</f>
        <v>0</v>
      </c>
      <c r="AK27" s="33">
        <f>ROUND(ver2_2019!AK27,-4)</f>
        <v>0</v>
      </c>
      <c r="AL27" s="33">
        <f>ROUND(ver2_2019!AL27,-4)</f>
        <v>0</v>
      </c>
      <c r="AM27" s="33">
        <f>ROUND(ver2_2019!AM27,-4)</f>
        <v>0</v>
      </c>
      <c r="AN27" s="33">
        <f>ROUND(ver2_2019!AN27,-4)</f>
        <v>0</v>
      </c>
      <c r="AO27" s="33">
        <f>ROUND(ver2_2019!AO27,-4)</f>
        <v>0</v>
      </c>
      <c r="AP27" s="33">
        <f>ROUND(ver2_2019!AP27,-4)</f>
        <v>0</v>
      </c>
      <c r="AQ27" s="33">
        <f>ROUND(ver2_2019!AQ27,-4)</f>
        <v>0</v>
      </c>
      <c r="AR27" s="33">
        <f>ROUND(ver2_2019!AR27,-4)</f>
        <v>0</v>
      </c>
      <c r="AS27" s="33">
        <f>ROUND(ver2_2019!AS27,-4)</f>
        <v>0</v>
      </c>
      <c r="AT27" s="33">
        <f>ROUND(ver2_2019!AT27,-4)</f>
        <v>0</v>
      </c>
      <c r="AU27" s="28">
        <f t="shared" si="0"/>
        <v>2490000</v>
      </c>
      <c r="AV27" s="30">
        <f t="shared" si="1"/>
        <v>261.91227516566738</v>
      </c>
    </row>
    <row r="28" spans="1:48" s="5" customFormat="1" x14ac:dyDescent="0.35">
      <c r="A28" s="12" t="s">
        <v>31</v>
      </c>
      <c r="B28" s="12" t="s">
        <v>53</v>
      </c>
      <c r="C28" s="20">
        <v>1600</v>
      </c>
      <c r="D28" s="20"/>
      <c r="E28" s="33">
        <f>ROUND(ver2_2019!E28,-4)</f>
        <v>140000</v>
      </c>
      <c r="F28" s="33">
        <f>ROUND(ver2_2019!F28,-4)</f>
        <v>0</v>
      </c>
      <c r="G28" s="33">
        <f>ROUND(ver2_2019!G28,-4)</f>
        <v>120000</v>
      </c>
      <c r="H28" s="33">
        <f>ROUND(ver2_2019!H28,-4)</f>
        <v>0</v>
      </c>
      <c r="I28" s="33">
        <f>ROUND(ver2_2019!I28,-4)</f>
        <v>0</v>
      </c>
      <c r="J28" s="33">
        <f>ROUND(ver2_2019!J28,-4)</f>
        <v>0</v>
      </c>
      <c r="K28" s="33">
        <f>ROUND(ver2_2019!K28,-4)</f>
        <v>120000</v>
      </c>
      <c r="L28" s="33">
        <f>ROUND(ver2_2019!L28,-4)</f>
        <v>20000</v>
      </c>
      <c r="M28" s="33">
        <f>ROUND(ver2_2019!M28,-4)</f>
        <v>0</v>
      </c>
      <c r="N28" s="33">
        <f>ROUND(ver2_2019!N28,-4)</f>
        <v>0</v>
      </c>
      <c r="O28" s="33">
        <f>ROUND(ver2_2019!O28,-4)</f>
        <v>0</v>
      </c>
      <c r="P28" s="33">
        <f>ROUND(ver2_2019!P28,-4)</f>
        <v>100000</v>
      </c>
      <c r="Q28" s="33">
        <f>ROUND(ver2_2019!Q28,-4)</f>
        <v>0</v>
      </c>
      <c r="R28" s="33">
        <f>ROUND(ver2_2019!R28,-4)</f>
        <v>0</v>
      </c>
      <c r="S28" s="33">
        <f>ROUND(ver2_2019!S28,-4)</f>
        <v>0</v>
      </c>
      <c r="T28" s="33">
        <f>ROUND(ver2_2019!T28,-4)</f>
        <v>0</v>
      </c>
      <c r="U28" s="33">
        <f>ROUND(ver2_2019!U28,-4)</f>
        <v>0</v>
      </c>
      <c r="V28" s="33">
        <f>ROUND(ver2_2019!V28,-4)</f>
        <v>0</v>
      </c>
      <c r="W28" s="33">
        <f>ROUND(ver2_2019!W28,-4)</f>
        <v>0</v>
      </c>
      <c r="X28" s="33">
        <f>ROUND(ver2_2019!X28,-4)</f>
        <v>0</v>
      </c>
      <c r="Y28" s="33">
        <f>ROUND(ver2_2019!Y28,-4)</f>
        <v>70000</v>
      </c>
      <c r="Z28" s="33">
        <f>ROUND(ver2_2019!Z28,-4)</f>
        <v>30000</v>
      </c>
      <c r="AA28" s="33">
        <f>ROUND(ver2_2019!AA28,-4)</f>
        <v>0</v>
      </c>
      <c r="AB28" s="33">
        <f>ROUND(ver2_2019!AB28,-4)</f>
        <v>0</v>
      </c>
      <c r="AC28" s="33">
        <f>ROUND(ver2_2019!AC28,-4)</f>
        <v>0</v>
      </c>
      <c r="AD28" s="33">
        <f>ROUND(ver2_2019!AD28,-4)</f>
        <v>0</v>
      </c>
      <c r="AE28" s="33">
        <f>ROUND(ver2_2019!AE28,-4)</f>
        <v>20000</v>
      </c>
      <c r="AF28" s="33">
        <f>ROUND(ver2_2019!AF28,-4)</f>
        <v>0</v>
      </c>
      <c r="AG28" s="33">
        <f>ROUND(ver2_2019!AG28,-4)</f>
        <v>0</v>
      </c>
      <c r="AH28" s="33">
        <f>ROUND(ver2_2019!AH28,-4)</f>
        <v>0</v>
      </c>
      <c r="AI28" s="33">
        <f>ROUND(ver2_2019!AI28,-4)</f>
        <v>0</v>
      </c>
      <c r="AJ28" s="33">
        <f>ROUND(ver2_2019!AJ28,-4)</f>
        <v>0</v>
      </c>
      <c r="AK28" s="33">
        <f>ROUND(ver2_2019!AK28,-4)</f>
        <v>0</v>
      </c>
      <c r="AL28" s="33">
        <f>ROUND(ver2_2019!AL28,-4)</f>
        <v>0</v>
      </c>
      <c r="AM28" s="33">
        <f>ROUND(ver2_2019!AM28,-4)</f>
        <v>0</v>
      </c>
      <c r="AN28" s="33">
        <f>ROUND(ver2_2019!AN28,-4)</f>
        <v>0</v>
      </c>
      <c r="AO28" s="33">
        <f>ROUND(ver2_2019!AO28,-4)</f>
        <v>0</v>
      </c>
      <c r="AP28" s="33">
        <f>ROUND(ver2_2019!AP28,-4)</f>
        <v>0</v>
      </c>
      <c r="AQ28" s="33">
        <f>ROUND(ver2_2019!AQ28,-4)</f>
        <v>0</v>
      </c>
      <c r="AR28" s="33">
        <f>ROUND(ver2_2019!AR28,-4)</f>
        <v>0</v>
      </c>
      <c r="AS28" s="33">
        <f>ROUND(ver2_2019!AS28,-4)</f>
        <v>0</v>
      </c>
      <c r="AT28" s="33">
        <f>ROUND(ver2_2019!AT28,-4)</f>
        <v>0</v>
      </c>
      <c r="AU28" s="28">
        <f t="shared" si="0"/>
        <v>620000</v>
      </c>
      <c r="AV28" s="30">
        <f t="shared" si="1"/>
        <v>387.5</v>
      </c>
    </row>
    <row r="29" spans="1:48" x14ac:dyDescent="0.35">
      <c r="A29" s="13" t="s">
        <v>60</v>
      </c>
      <c r="C29" s="25">
        <f>SUM(C7:C28)</f>
        <v>274122</v>
      </c>
      <c r="D29" s="25">
        <f>SUM(D7:D28)</f>
        <v>101719</v>
      </c>
      <c r="E29" s="25">
        <f t="shared" ref="E29:AT29" si="2">SUM(E7:E28)</f>
        <v>21080000</v>
      </c>
      <c r="F29" s="25">
        <f t="shared" si="2"/>
        <v>2750000</v>
      </c>
      <c r="G29" s="25">
        <f t="shared" si="2"/>
        <v>1100000</v>
      </c>
      <c r="H29" s="25">
        <f t="shared" si="2"/>
        <v>3900000</v>
      </c>
      <c r="I29" s="25">
        <f t="shared" si="2"/>
        <v>2900000</v>
      </c>
      <c r="J29" s="25">
        <f t="shared" si="2"/>
        <v>2700000</v>
      </c>
      <c r="K29" s="25">
        <f t="shared" si="2"/>
        <v>8300000</v>
      </c>
      <c r="L29" s="25">
        <f t="shared" si="2"/>
        <v>910000</v>
      </c>
      <c r="M29" s="25">
        <f t="shared" si="2"/>
        <v>3680000</v>
      </c>
      <c r="N29" s="25">
        <f t="shared" si="2"/>
        <v>3200000</v>
      </c>
      <c r="O29" s="25">
        <f t="shared" si="2"/>
        <v>300000</v>
      </c>
      <c r="P29" s="25">
        <f t="shared" si="2"/>
        <v>2230000</v>
      </c>
      <c r="Q29" s="25">
        <f t="shared" si="2"/>
        <v>660000</v>
      </c>
      <c r="R29" s="25">
        <f t="shared" si="2"/>
        <v>670000</v>
      </c>
      <c r="S29" s="25">
        <f t="shared" si="2"/>
        <v>350000</v>
      </c>
      <c r="T29" s="25">
        <f t="shared" si="2"/>
        <v>250000</v>
      </c>
      <c r="U29" s="25">
        <f t="shared" si="2"/>
        <v>10800000</v>
      </c>
      <c r="V29" s="25">
        <f t="shared" si="2"/>
        <v>350000</v>
      </c>
      <c r="W29" s="25">
        <f t="shared" si="2"/>
        <v>480000</v>
      </c>
      <c r="X29" s="25">
        <f t="shared" si="2"/>
        <v>200000</v>
      </c>
      <c r="Y29" s="25">
        <f t="shared" si="2"/>
        <v>2000000</v>
      </c>
      <c r="Z29" s="25">
        <f t="shared" si="2"/>
        <v>850000</v>
      </c>
      <c r="AA29" s="25">
        <f t="shared" si="2"/>
        <v>2000000</v>
      </c>
      <c r="AB29" s="25">
        <f>SUM(AB7:AB28)</f>
        <v>1810000</v>
      </c>
      <c r="AC29" s="25">
        <f t="shared" si="2"/>
        <v>2150000</v>
      </c>
      <c r="AD29" s="25">
        <f t="shared" si="2"/>
        <v>130000</v>
      </c>
      <c r="AE29" s="25">
        <f t="shared" si="2"/>
        <v>560000</v>
      </c>
      <c r="AF29" s="25">
        <f t="shared" si="2"/>
        <v>6000000</v>
      </c>
      <c r="AG29" s="25">
        <f t="shared" si="2"/>
        <v>600000</v>
      </c>
      <c r="AH29" s="25">
        <f t="shared" si="2"/>
        <v>460000</v>
      </c>
      <c r="AI29" s="25">
        <f t="shared" si="2"/>
        <v>790000</v>
      </c>
      <c r="AJ29" s="25">
        <f t="shared" si="2"/>
        <v>220000</v>
      </c>
      <c r="AK29" s="25">
        <f t="shared" si="2"/>
        <v>700000</v>
      </c>
      <c r="AL29" s="25">
        <f t="shared" si="2"/>
        <v>2600000</v>
      </c>
      <c r="AM29" s="25">
        <f t="shared" si="2"/>
        <v>650000</v>
      </c>
      <c r="AN29" s="25">
        <f t="shared" si="2"/>
        <v>1830000</v>
      </c>
      <c r="AO29" s="25">
        <f t="shared" si="2"/>
        <v>450000</v>
      </c>
      <c r="AP29" s="25">
        <f t="shared" si="2"/>
        <v>60000</v>
      </c>
      <c r="AQ29" s="25">
        <f t="shared" si="2"/>
        <v>320000</v>
      </c>
      <c r="AR29" s="25">
        <f t="shared" si="2"/>
        <v>330000</v>
      </c>
      <c r="AS29" s="25">
        <f t="shared" si="2"/>
        <v>0</v>
      </c>
      <c r="AT29" s="25">
        <f t="shared" si="2"/>
        <v>3900000</v>
      </c>
      <c r="AU29" s="25">
        <f>SUM(AU7:AU28)</f>
        <v>95220000</v>
      </c>
      <c r="AV29" s="25"/>
    </row>
    <row r="30" spans="1:48" x14ac:dyDescent="0.35">
      <c r="AV30" s="31">
        <f>(AU5+AU6)/C29</f>
        <v>347.40006274578474</v>
      </c>
    </row>
    <row r="31" spans="1:48" ht="29" x14ac:dyDescent="0.35">
      <c r="AT31" s="10"/>
      <c r="AU31" s="10" t="s">
        <v>95</v>
      </c>
      <c r="AV31" s="55" t="s">
        <v>98</v>
      </c>
    </row>
    <row r="32" spans="1:48" ht="74.25" customHeight="1" x14ac:dyDescent="0.55000000000000004">
      <c r="A32" s="60" t="s">
        <v>102</v>
      </c>
      <c r="B32" s="60"/>
      <c r="C32" s="60"/>
      <c r="D32" s="1"/>
      <c r="E32" s="1"/>
      <c r="F32" s="1"/>
      <c r="AK32" s="31" t="s">
        <v>100</v>
      </c>
      <c r="AS32" s="1"/>
      <c r="AT32" s="55" t="s">
        <v>97</v>
      </c>
      <c r="AU32" s="43">
        <f>AU29-AU33</f>
        <v>74870000</v>
      </c>
      <c r="AV32" s="54">
        <f>AU32/(SUM(C7:C22)+C28)</f>
        <v>389.22217947784861</v>
      </c>
    </row>
    <row r="33" spans="1:48" x14ac:dyDescent="0.35">
      <c r="AN33" s="31" t="s">
        <v>100</v>
      </c>
      <c r="AO33" s="31" t="s">
        <v>100</v>
      </c>
      <c r="AT33" s="10" t="s">
        <v>96</v>
      </c>
      <c r="AU33" s="43">
        <f>SUM(AU23+AU24+AU25+AU26+AU27)</f>
        <v>20350000</v>
      </c>
      <c r="AV33" s="56">
        <f>AU33/SUM(C23:C27)</f>
        <v>248.88704075143096</v>
      </c>
    </row>
    <row r="34" spans="1:48" x14ac:dyDescent="0.35">
      <c r="A34" s="6"/>
      <c r="K34" s="39"/>
      <c r="L34" s="37"/>
      <c r="M34" s="38"/>
    </row>
    <row r="35" spans="1:48" x14ac:dyDescent="0.35">
      <c r="K35" s="39"/>
      <c r="L35" s="37"/>
      <c r="M35" s="38"/>
    </row>
    <row r="36" spans="1:48" x14ac:dyDescent="0.35">
      <c r="K36" s="39"/>
      <c r="L36" s="37"/>
      <c r="M36" s="38"/>
    </row>
    <row r="37" spans="1:48" x14ac:dyDescent="0.35">
      <c r="K37" s="39"/>
      <c r="L37" s="37"/>
      <c r="M37" s="38"/>
    </row>
    <row r="38" spans="1:48" x14ac:dyDescent="0.35">
      <c r="K38" s="39"/>
      <c r="L38" s="37"/>
      <c r="M38" s="38"/>
    </row>
    <row r="41" spans="1:48" x14ac:dyDescent="0.35">
      <c r="A41" s="46"/>
      <c r="C41" s="31"/>
    </row>
    <row r="43" spans="1:48" x14ac:dyDescent="0.35">
      <c r="C43" s="31"/>
    </row>
    <row r="45" spans="1:48" x14ac:dyDescent="0.35">
      <c r="C45" s="31"/>
    </row>
  </sheetData>
  <mergeCells count="1">
    <mergeCell ref="A32:C32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FBDA55C33944DB29D10357217F4B4" ma:contentTypeVersion="10" ma:contentTypeDescription="Create a new document." ma:contentTypeScope="" ma:versionID="099a7741a73fc2e9fff584a8cd756d45">
  <xsd:schema xmlns:xsd="http://www.w3.org/2001/XMLSchema" xmlns:xs="http://www.w3.org/2001/XMLSchema" xmlns:p="http://schemas.microsoft.com/office/2006/metadata/properties" xmlns:ns3="06ca77f7-4c1d-4748-8b78-44d31fe30be7" xmlns:ns4="11c2dcc9-36cd-45ba-bad6-eaec190db8c3" targetNamespace="http://schemas.microsoft.com/office/2006/metadata/properties" ma:root="true" ma:fieldsID="5b4cd902b46535a195e3abd6afa7835a" ns3:_="" ns4:_="">
    <xsd:import namespace="06ca77f7-4c1d-4748-8b78-44d31fe30be7"/>
    <xsd:import namespace="11c2dcc9-36cd-45ba-bad6-eaec190db8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a77f7-4c1d-4748-8b78-44d31fe30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2dcc9-36cd-45ba-bad6-eaec190db8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11DB16-BE21-4891-A737-5FF2FC67EA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7AF437-7D8B-4507-9418-F1C0225DF18D}">
  <ds:schemaRefs>
    <ds:schemaRef ds:uri="http://schemas.microsoft.com/office/2006/metadata/properties"/>
    <ds:schemaRef ds:uri="11c2dcc9-36cd-45ba-bad6-eaec190db8c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6ca77f7-4c1d-4748-8b78-44d31fe30be7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93C7BE-0713-40C2-AD4C-B5E7D5540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ca77f7-4c1d-4748-8b78-44d31fe30be7"/>
    <ds:schemaRef ds:uri="11c2dcc9-36cd-45ba-bad6-eaec190db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ver1_2018</vt:lpstr>
      <vt:lpstr>ver2_2019</vt:lpstr>
      <vt:lpstr>Avrund</vt:lpstr>
    </vt:vector>
  </TitlesOfParts>
  <Company>Asplan Viak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Arild Byrkjedal</dc:creator>
  <cp:lastModifiedBy>Bruaset, Bjørn</cp:lastModifiedBy>
  <cp:lastPrinted>2020-05-12T08:22:46Z</cp:lastPrinted>
  <dcterms:created xsi:type="dcterms:W3CDTF">2018-08-22T14:01:05Z</dcterms:created>
  <dcterms:modified xsi:type="dcterms:W3CDTF">2022-05-30T12:44:24Z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0x010100A44FBDA55C33944DB29D10357217F4B4</vt:lpwstr>
  </property>
  <property fmtid="{D5CDD505-2E9C-101B-9397-08002B2CF9AE}" pid="3" name="_dlc_DocIdItemGuid">
    <vt:lpwstr>8d022a7b-128d-4562-b7e3-aa03d81eaa87</vt:lpwstr>
  </property>
  <property fmtid="{D5CDD505-2E9C-101B-9397-08002B2CF9AE}" pid="4" name="_NewReviewCycle">
    <vt:lpwstr/>
  </property>
  <property fmtid="{D5CDD505-2E9C-101B-9397-08002B2CF9AE}" pid="5" name="CheckInType">
    <vt:lpwstr>FromApplication</vt:lpwstr>
  </property>
  <property fmtid="{D5CDD505-2E9C-101B-9397-08002B2CF9AE}" pid="6" name="CheckInDocForm">
    <vt:lpwstr>https://elements.bomlo.kommune.no/ephorte6TK/shared/aspx/Default/CheckInDocForm.aspx</vt:lpwstr>
  </property>
  <property fmtid="{D5CDD505-2E9C-101B-9397-08002B2CF9AE}" pid="7" name="DokType">
    <vt:lpwstr/>
  </property>
  <property fmtid="{D5CDD505-2E9C-101B-9397-08002B2CF9AE}" pid="8" name="DokID">
    <vt:i4>798017</vt:i4>
  </property>
  <property fmtid="{D5CDD505-2E9C-101B-9397-08002B2CF9AE}" pid="9" name="Versjon">
    <vt:i4>1</vt:i4>
  </property>
  <property fmtid="{D5CDD505-2E9C-101B-9397-08002B2CF9AE}" pid="10" name="Variant">
    <vt:lpwstr>P</vt:lpwstr>
  </property>
  <property fmtid="{D5CDD505-2E9C-101B-9397-08002B2CF9AE}" pid="11" name="OpenMode">
    <vt:lpwstr>EditDoc</vt:lpwstr>
  </property>
  <property fmtid="{D5CDD505-2E9C-101B-9397-08002B2CF9AE}" pid="12" name="CurrentUrl">
    <vt:lpwstr>https%3a%2f%2felements.bomlo.kommune.no%2fephorte6TK%2fshared%2faspx%2fdefault%2fdetails.aspx%3ff%3dViewJP%26JP_ID%3d513851%26SubElGroup%3d55</vt:lpwstr>
  </property>
  <property fmtid="{D5CDD505-2E9C-101B-9397-08002B2CF9AE}" pid="13" name="WindowName">
    <vt:lpwstr>TabWindow1</vt:lpwstr>
  </property>
  <property fmtid="{D5CDD505-2E9C-101B-9397-08002B2CF9AE}" pid="14" name="FileName">
    <vt:lpwstr>%5c%5cTKFIL%5cPRIVAT%24%5cvmortveit%5cEPHORTE%5c1007823.XLSX</vt:lpwstr>
  </property>
  <property fmtid="{D5CDD505-2E9C-101B-9397-08002B2CF9AE}" pid="15" name="LinkId">
    <vt:i4>513851</vt:i4>
  </property>
</Properties>
</file>